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e\AppData\Local\Microsoft\Windows\INetCache\Content.Outlook\1ROK8YBF\"/>
    </mc:Choice>
  </mc:AlternateContent>
  <bookViews>
    <workbookView xWindow="6705" yWindow="465" windowWidth="12315" windowHeight="10740" tabRatio="596" firstSheet="1" activeTab="2"/>
  </bookViews>
  <sheets>
    <sheet name="Тех.присоединения" sheetId="9" r:id="rId1"/>
    <sheet name="О договорах " sheetId="10" r:id="rId2"/>
    <sheet name="Своб. Р по ПС" sheetId="13" r:id="rId3"/>
    <sheet name="Своб.мощ-ть ТП" sheetId="25" r:id="rId4"/>
    <sheet name="своб. Р по РП" sheetId="18" r:id="rId5"/>
    <sheet name="Своб. Р по ТП и РП" sheetId="21" r:id="rId6"/>
    <sheet name="Лист2" sheetId="29" r:id="rId7"/>
    <sheet name="Лист1" sheetId="26" r:id="rId8"/>
    <sheet name="Лист3" sheetId="28" r:id="rId9"/>
  </sheets>
  <definedNames>
    <definedName name="_xlnm._FilterDatabase" localSheetId="4" hidden="1">'своб. Р по РП'!$A$3:$AM$59</definedName>
    <definedName name="_xlnm._FilterDatabase" localSheetId="5" hidden="1">'Своб. Р по ТП и РП'!$A$3:$I$976</definedName>
    <definedName name="_xlnm._FilterDatabase" localSheetId="3" hidden="1">'Своб.мощ-ть ТП'!$A$2:$AV$1206</definedName>
    <definedName name="Объем_своб_мощ_до35" localSheetId="3">'Своб.мощ-ть ТП'!$A$3:$H$1059</definedName>
    <definedName name="Объем_своб_мощ_до35">'Своб. Р по ПС'!#REF!</definedName>
  </definedNames>
  <calcPr calcId="152511"/>
</workbook>
</file>

<file path=xl/calcChain.xml><?xml version="1.0" encoding="utf-8"?>
<calcChain xmlns="http://schemas.openxmlformats.org/spreadsheetml/2006/main">
  <c r="C1213" i="21" l="1"/>
  <c r="C48" i="18"/>
  <c r="U57" i="18"/>
  <c r="C58" i="18"/>
  <c r="D15" i="9"/>
  <c r="H15" i="9"/>
  <c r="G15" i="9"/>
  <c r="F15" i="9"/>
  <c r="C46" i="18"/>
  <c r="C45" i="18"/>
  <c r="C43" i="18"/>
  <c r="C34" i="18"/>
  <c r="C22" i="18"/>
  <c r="C16" i="18"/>
  <c r="C12" i="18"/>
  <c r="AO12" i="18"/>
  <c r="AO45" i="18"/>
  <c r="AO13" i="18"/>
  <c r="AO39" i="18"/>
  <c r="AO16" i="18"/>
  <c r="AO34" i="18"/>
  <c r="AO23" i="18"/>
  <c r="AO21" i="18"/>
  <c r="AO19" i="18"/>
  <c r="AO9" i="18"/>
  <c r="AO6" i="18"/>
  <c r="AO10" i="18"/>
  <c r="AO14" i="18"/>
  <c r="AO15" i="18"/>
  <c r="AO46" i="18"/>
  <c r="AO38" i="18"/>
  <c r="AO4" i="18"/>
  <c r="AO25" i="18"/>
  <c r="AU4" i="25"/>
  <c r="AU5" i="25"/>
  <c r="AU6" i="25"/>
  <c r="AU7" i="25"/>
  <c r="AU8" i="25"/>
  <c r="AU9" i="25"/>
  <c r="AU10" i="25"/>
  <c r="AU11" i="25"/>
  <c r="AU12" i="25"/>
  <c r="AU13" i="25"/>
  <c r="AU14" i="25"/>
  <c r="AU15" i="25"/>
  <c r="AU16" i="25"/>
  <c r="AU17" i="25"/>
  <c r="AU18" i="25"/>
  <c r="AU19" i="25"/>
  <c r="AU20" i="25"/>
  <c r="AU21" i="25"/>
  <c r="AU22" i="25"/>
  <c r="AU23" i="25"/>
  <c r="AU24" i="25"/>
  <c r="AU25" i="25"/>
  <c r="AU26" i="25"/>
  <c r="AU27" i="25"/>
  <c r="AU28" i="25"/>
  <c r="AU29" i="25"/>
  <c r="AU30" i="25"/>
  <c r="AU31" i="25"/>
  <c r="AU32" i="25"/>
  <c r="AU33" i="25"/>
  <c r="AU34" i="25"/>
  <c r="AU35" i="25"/>
  <c r="AU36" i="25"/>
  <c r="AU37" i="25"/>
  <c r="AU38" i="25"/>
  <c r="AU39" i="25"/>
  <c r="AU40" i="25"/>
  <c r="AU41" i="25"/>
  <c r="AU42" i="25"/>
  <c r="AU43" i="25"/>
  <c r="AU44" i="25"/>
  <c r="AU45" i="25"/>
  <c r="AU46" i="25"/>
  <c r="AU47" i="25"/>
  <c r="AU48" i="25"/>
  <c r="AU49" i="25"/>
  <c r="AU50" i="25"/>
  <c r="AU51" i="25"/>
  <c r="AU52" i="25"/>
  <c r="AU53" i="25"/>
  <c r="AU54" i="25"/>
  <c r="AU55" i="25"/>
  <c r="AU56" i="25"/>
  <c r="AU57" i="25"/>
  <c r="AU58" i="25"/>
  <c r="AU59" i="25"/>
  <c r="AU60" i="25"/>
  <c r="AU61" i="25"/>
  <c r="AU62" i="25"/>
  <c r="AU63" i="25"/>
  <c r="AU64" i="25"/>
  <c r="AU65" i="25"/>
  <c r="AU66" i="25"/>
  <c r="AU67" i="25"/>
  <c r="AU68" i="25"/>
  <c r="AU69" i="25"/>
  <c r="AU70" i="25"/>
  <c r="AU71" i="25"/>
  <c r="AU72" i="25"/>
  <c r="AU73" i="25"/>
  <c r="AU74" i="25"/>
  <c r="AU75" i="25"/>
  <c r="AU76" i="25"/>
  <c r="AU77" i="25"/>
  <c r="AU78" i="25"/>
  <c r="AU79" i="25"/>
  <c r="AU80" i="25"/>
  <c r="AU81" i="25"/>
  <c r="AU82" i="25"/>
  <c r="AU83" i="25"/>
  <c r="AU84" i="25"/>
  <c r="AU85" i="25"/>
  <c r="AU86" i="25"/>
  <c r="AU87" i="25"/>
  <c r="AU88" i="25"/>
  <c r="AU89" i="25"/>
  <c r="AU90" i="25"/>
  <c r="AU91" i="25"/>
  <c r="AU92" i="25"/>
  <c r="AU93" i="25"/>
  <c r="AU94" i="25"/>
  <c r="AU95" i="25"/>
  <c r="AU96" i="25"/>
  <c r="AU97" i="25"/>
  <c r="AU98" i="25"/>
  <c r="AU99" i="25"/>
  <c r="AU100" i="25"/>
  <c r="AU101" i="25"/>
  <c r="AU102" i="25"/>
  <c r="AU103" i="25"/>
  <c r="AU104" i="25"/>
  <c r="AU105" i="25"/>
  <c r="AU106" i="25"/>
  <c r="AU107" i="25"/>
  <c r="AU108" i="25"/>
  <c r="AU109" i="25"/>
  <c r="AU110" i="25"/>
  <c r="AU111" i="25"/>
  <c r="AU112" i="25"/>
  <c r="AU113" i="25"/>
  <c r="AU114" i="25"/>
  <c r="AU115" i="25"/>
  <c r="AU116" i="25"/>
  <c r="AU117" i="25"/>
  <c r="AU118" i="25"/>
  <c r="AU119" i="25"/>
  <c r="AU120" i="25"/>
  <c r="AU121" i="25"/>
  <c r="AU122" i="25"/>
  <c r="AU123" i="25"/>
  <c r="AU124" i="25"/>
  <c r="AU125" i="25"/>
  <c r="AU126" i="25"/>
  <c r="AU127" i="25"/>
  <c r="AU128" i="25"/>
  <c r="AU129" i="25"/>
  <c r="AU130" i="25"/>
  <c r="AU131" i="25"/>
  <c r="AU132" i="25"/>
  <c r="AU133" i="25"/>
  <c r="AU134" i="25"/>
  <c r="AU135" i="25"/>
  <c r="AU136" i="25"/>
  <c r="AU137" i="25"/>
  <c r="AU138" i="25"/>
  <c r="AU139" i="25"/>
  <c r="AU140" i="25"/>
  <c r="AU141" i="25"/>
  <c r="AU142" i="25"/>
  <c r="AU143" i="25"/>
  <c r="AU144" i="25"/>
  <c r="AU145" i="25"/>
  <c r="AU146" i="25"/>
  <c r="AU147" i="25"/>
  <c r="AU148" i="25"/>
  <c r="AU149" i="25"/>
  <c r="AU150" i="25"/>
  <c r="AU151" i="25"/>
  <c r="AU152" i="25"/>
  <c r="AU153" i="25"/>
  <c r="AU154" i="25"/>
  <c r="AU155" i="25"/>
  <c r="AU156" i="25"/>
  <c r="AU157" i="25"/>
  <c r="AU158" i="25"/>
  <c r="AU159" i="25"/>
  <c r="AU160" i="25"/>
  <c r="AU161" i="25"/>
  <c r="AU162" i="25"/>
  <c r="AU163" i="25"/>
  <c r="AU164" i="25"/>
  <c r="AU165" i="25"/>
  <c r="AU166" i="25"/>
  <c r="AU167" i="25"/>
  <c r="AU168" i="25"/>
  <c r="AU169" i="25"/>
  <c r="AU170" i="25"/>
  <c r="AU171" i="25"/>
  <c r="AU172" i="25"/>
  <c r="AU173" i="25"/>
  <c r="AU174" i="25"/>
  <c r="AU175" i="25"/>
  <c r="AU176" i="25"/>
  <c r="AU177" i="25"/>
  <c r="AU178" i="25"/>
  <c r="AU179" i="25"/>
  <c r="AU180" i="25"/>
  <c r="AU181" i="25"/>
  <c r="AU182" i="25"/>
  <c r="AU183" i="25"/>
  <c r="AU184" i="25"/>
  <c r="AU185" i="25"/>
  <c r="AU186" i="25"/>
  <c r="AU187" i="25"/>
  <c r="AU188" i="25"/>
  <c r="AU189" i="25"/>
  <c r="AU190" i="25"/>
  <c r="AU191" i="25"/>
  <c r="AU192" i="25"/>
  <c r="AU193" i="25"/>
  <c r="AU194" i="25"/>
  <c r="AU195" i="25"/>
  <c r="AU196" i="25"/>
  <c r="AU197" i="25"/>
  <c r="AU198" i="25"/>
  <c r="AU199" i="25"/>
  <c r="AU200" i="25"/>
  <c r="AU201" i="25"/>
  <c r="AU202" i="25"/>
  <c r="AU203" i="25"/>
  <c r="AU204" i="25"/>
  <c r="AU205" i="25"/>
  <c r="AU206" i="25"/>
  <c r="AU207" i="25"/>
  <c r="AU208" i="25"/>
  <c r="AU209" i="25"/>
  <c r="AU210" i="25"/>
  <c r="AU211" i="25"/>
  <c r="AU212" i="25"/>
  <c r="AU213" i="25"/>
  <c r="AU214" i="25"/>
  <c r="AU215" i="25"/>
  <c r="AU216" i="25"/>
  <c r="AU217" i="25"/>
  <c r="AU218" i="25"/>
  <c r="AU219" i="25"/>
  <c r="AU220" i="25"/>
  <c r="AU221" i="25"/>
  <c r="AU222" i="25"/>
  <c r="AU223" i="25"/>
  <c r="AU224" i="25"/>
  <c r="AU225" i="25"/>
  <c r="AU226" i="25"/>
  <c r="AU227" i="25"/>
  <c r="AU228" i="25"/>
  <c r="AU229" i="25"/>
  <c r="AU230" i="25"/>
  <c r="AU231" i="25"/>
  <c r="AU232" i="25"/>
  <c r="AU233" i="25"/>
  <c r="AU234" i="25"/>
  <c r="AU235" i="25"/>
  <c r="AU236" i="25"/>
  <c r="AU237" i="25"/>
  <c r="AU238" i="25"/>
  <c r="AU239" i="25"/>
  <c r="AU240" i="25"/>
  <c r="AU241" i="25"/>
  <c r="AU242" i="25"/>
  <c r="AU243" i="25"/>
  <c r="AU244" i="25"/>
  <c r="AU245" i="25"/>
  <c r="AU246" i="25"/>
  <c r="AU247" i="25"/>
  <c r="AU248" i="25"/>
  <c r="AU249" i="25"/>
  <c r="AU250" i="25"/>
  <c r="AU251" i="25"/>
  <c r="AU252" i="25"/>
  <c r="AU253" i="25"/>
  <c r="AU254" i="25"/>
  <c r="AU255" i="25"/>
  <c r="AU256" i="25"/>
  <c r="AU257" i="25"/>
  <c r="AU258" i="25"/>
  <c r="AU259" i="25"/>
  <c r="AU260" i="25"/>
  <c r="AU261" i="25"/>
  <c r="AU262" i="25"/>
  <c r="AU263" i="25"/>
  <c r="AU264" i="25"/>
  <c r="AU265" i="25"/>
  <c r="AU266" i="25"/>
  <c r="AU267" i="25"/>
  <c r="AU268" i="25"/>
  <c r="AU269" i="25"/>
  <c r="AU270" i="25"/>
  <c r="AU271" i="25"/>
  <c r="AU272" i="25"/>
  <c r="AU273" i="25"/>
  <c r="AU274" i="25"/>
  <c r="AU275" i="25"/>
  <c r="AU276" i="25"/>
  <c r="AU277" i="25"/>
  <c r="AU278" i="25"/>
  <c r="AU279" i="25"/>
  <c r="AU280" i="25"/>
  <c r="AU281" i="25"/>
  <c r="AU282" i="25"/>
  <c r="AU283" i="25"/>
  <c r="AU284" i="25"/>
  <c r="AU285" i="25"/>
  <c r="AU286" i="25"/>
  <c r="AU287" i="25"/>
  <c r="AU288" i="25"/>
  <c r="AU289" i="25"/>
  <c r="AU290" i="25"/>
  <c r="AU291" i="25"/>
  <c r="AU292" i="25"/>
  <c r="AU293" i="25"/>
  <c r="AU294" i="25"/>
  <c r="AU295" i="25"/>
  <c r="AU296" i="25"/>
  <c r="AU297" i="25"/>
  <c r="AU298" i="25"/>
  <c r="AU299" i="25"/>
  <c r="AU300" i="25"/>
  <c r="AU301" i="25"/>
  <c r="AU302" i="25"/>
  <c r="AU303" i="25"/>
  <c r="AU304" i="25"/>
  <c r="AU305" i="25"/>
  <c r="AU306" i="25"/>
  <c r="AU307" i="25"/>
  <c r="AU308" i="25"/>
  <c r="AU309" i="25"/>
  <c r="AU310" i="25"/>
  <c r="AU311" i="25"/>
  <c r="AU312" i="25"/>
  <c r="AU313" i="25"/>
  <c r="AU314" i="25"/>
  <c r="AU315" i="25"/>
  <c r="AU316" i="25"/>
  <c r="AU317" i="25"/>
  <c r="AU318" i="25"/>
  <c r="AU319" i="25"/>
  <c r="AU320" i="25"/>
  <c r="AU321" i="25"/>
  <c r="AU322" i="25"/>
  <c r="AU323" i="25"/>
  <c r="AU324" i="25"/>
  <c r="AU325" i="25"/>
  <c r="AU326" i="25"/>
  <c r="AU327" i="25"/>
  <c r="AU328" i="25"/>
  <c r="AU329" i="25"/>
  <c r="AU330" i="25"/>
  <c r="AU331" i="25"/>
  <c r="AU332" i="25"/>
  <c r="AU333" i="25"/>
  <c r="AU334" i="25"/>
  <c r="AU335" i="25"/>
  <c r="AU336" i="25"/>
  <c r="AU337" i="25"/>
  <c r="AU338" i="25"/>
  <c r="AU339" i="25"/>
  <c r="AU340" i="25"/>
  <c r="AU341" i="25"/>
  <c r="AU342" i="25"/>
  <c r="AU343" i="25"/>
  <c r="AU344" i="25"/>
  <c r="AU345" i="25"/>
  <c r="AU346" i="25"/>
  <c r="AU347" i="25"/>
  <c r="AU348" i="25"/>
  <c r="AU349" i="25"/>
  <c r="AU350" i="25"/>
  <c r="AU351" i="25"/>
  <c r="AU352" i="25"/>
  <c r="AU353" i="25"/>
  <c r="AU354" i="25"/>
  <c r="AU355" i="25"/>
  <c r="AU356" i="25"/>
  <c r="AU357" i="25"/>
  <c r="AU358" i="25"/>
  <c r="AU359" i="25"/>
  <c r="AU360" i="25"/>
  <c r="AU361" i="25"/>
  <c r="AU362" i="25"/>
  <c r="AU363" i="25"/>
  <c r="AU364" i="25"/>
  <c r="AU365" i="25"/>
  <c r="AU366" i="25"/>
  <c r="AU367" i="25"/>
  <c r="AU368" i="25"/>
  <c r="AU369" i="25"/>
  <c r="AU370" i="25"/>
  <c r="AU371" i="25"/>
  <c r="AU372" i="25"/>
  <c r="AU373" i="25"/>
  <c r="AU374" i="25"/>
  <c r="AU375" i="25"/>
  <c r="AU376" i="25"/>
  <c r="AU377" i="25"/>
  <c r="AU378" i="25"/>
  <c r="AU379" i="25"/>
  <c r="AU380" i="25"/>
  <c r="AU381" i="25"/>
  <c r="AU382" i="25"/>
  <c r="AU383" i="25"/>
  <c r="AU384" i="25"/>
  <c r="AU385" i="25"/>
  <c r="AU386" i="25"/>
  <c r="AU387" i="25"/>
  <c r="AU388" i="25"/>
  <c r="AU389" i="25"/>
  <c r="AU390" i="25"/>
  <c r="AU391" i="25"/>
  <c r="AU392" i="25"/>
  <c r="AU393" i="25"/>
  <c r="AU394" i="25"/>
  <c r="AU395" i="25"/>
  <c r="AU396" i="25"/>
  <c r="AU397" i="25"/>
  <c r="AU398" i="25"/>
  <c r="AU399" i="25"/>
  <c r="AU400" i="25"/>
  <c r="AU401" i="25"/>
  <c r="AU402" i="25"/>
  <c r="AU403" i="25"/>
  <c r="AU404" i="25"/>
  <c r="AU405" i="25"/>
  <c r="AU406" i="25"/>
  <c r="AU407" i="25"/>
  <c r="AU408" i="25"/>
  <c r="AU409" i="25"/>
  <c r="AU410" i="25"/>
  <c r="AU411" i="25"/>
  <c r="AU412" i="25"/>
  <c r="AU413" i="25"/>
  <c r="AU414" i="25"/>
  <c r="AU415" i="25"/>
  <c r="AU416" i="25"/>
  <c r="AU417" i="25"/>
  <c r="AU418" i="25"/>
  <c r="AU419" i="25"/>
  <c r="AU420" i="25"/>
  <c r="AU421" i="25"/>
  <c r="AU422" i="25"/>
  <c r="AU423" i="25"/>
  <c r="AU424" i="25"/>
  <c r="AU425" i="25"/>
  <c r="AU426" i="25"/>
  <c r="AU427" i="25"/>
  <c r="AU428" i="25"/>
  <c r="AU429" i="25"/>
  <c r="AU430" i="25"/>
  <c r="AU431" i="25"/>
  <c r="AU432" i="25"/>
  <c r="AU433" i="25"/>
  <c r="AU434" i="25"/>
  <c r="AU435" i="25"/>
  <c r="AU436" i="25"/>
  <c r="AU437" i="25"/>
  <c r="AU438" i="25"/>
  <c r="AU439" i="25"/>
  <c r="AU440" i="25"/>
  <c r="AU441" i="25"/>
  <c r="AU442" i="25"/>
  <c r="AU443" i="25"/>
  <c r="AU444" i="25"/>
  <c r="AU445" i="25"/>
  <c r="AU446" i="25"/>
  <c r="AU447" i="25"/>
  <c r="AU448" i="25"/>
  <c r="AU449" i="25"/>
  <c r="AU450" i="25"/>
  <c r="AU451" i="25"/>
  <c r="AU452" i="25"/>
  <c r="AU453" i="25"/>
  <c r="AU454" i="25"/>
  <c r="AU455" i="25"/>
  <c r="AU456" i="25"/>
  <c r="AU457" i="25"/>
  <c r="AU458" i="25"/>
  <c r="AU459" i="25"/>
  <c r="AU460" i="25"/>
  <c r="AU461" i="25"/>
  <c r="AU462" i="25"/>
  <c r="AU463" i="25"/>
  <c r="AU464" i="25"/>
  <c r="AU465" i="25"/>
  <c r="AU466" i="25"/>
  <c r="AU467" i="25"/>
  <c r="AU468" i="25"/>
  <c r="AU469" i="25"/>
  <c r="AU470" i="25"/>
  <c r="AU471" i="25"/>
  <c r="AU472" i="25"/>
  <c r="AU473" i="25"/>
  <c r="AU474" i="25"/>
  <c r="AU475" i="25"/>
  <c r="AU476" i="25"/>
  <c r="AU477" i="25"/>
  <c r="AU478" i="25"/>
  <c r="AU479" i="25"/>
  <c r="AU480" i="25"/>
  <c r="AU481" i="25"/>
  <c r="AU482" i="25"/>
  <c r="AU483" i="25"/>
  <c r="AU484" i="25"/>
  <c r="AU485" i="25"/>
  <c r="AU486" i="25"/>
  <c r="AU487" i="25"/>
  <c r="AU488" i="25"/>
  <c r="AU489" i="25"/>
  <c r="AU490" i="25"/>
  <c r="AU491" i="25"/>
  <c r="AU492" i="25"/>
  <c r="AU493" i="25"/>
  <c r="AU494" i="25"/>
  <c r="AU495" i="25"/>
  <c r="AU496" i="25"/>
  <c r="AU497" i="25"/>
  <c r="AU498" i="25"/>
  <c r="AU499" i="25"/>
  <c r="AU500" i="25"/>
  <c r="AU501" i="25"/>
  <c r="AU502" i="25"/>
  <c r="AU503" i="25"/>
  <c r="AU504" i="25"/>
  <c r="AU505" i="25"/>
  <c r="AU506" i="25"/>
  <c r="AU507" i="25"/>
  <c r="AU508" i="25"/>
  <c r="AU509" i="25"/>
  <c r="AU510" i="25"/>
  <c r="AU511" i="25"/>
  <c r="AU512" i="25"/>
  <c r="AU513" i="25"/>
  <c r="AU514" i="25"/>
  <c r="AU515" i="25"/>
  <c r="AU516" i="25"/>
  <c r="AU517" i="25"/>
  <c r="AU518" i="25"/>
  <c r="AU519" i="25"/>
  <c r="AU520" i="25"/>
  <c r="AU521" i="25"/>
  <c r="AU522" i="25"/>
  <c r="AU523" i="25"/>
  <c r="AU524" i="25"/>
  <c r="AU525" i="25"/>
  <c r="AU526" i="25"/>
  <c r="AU527" i="25"/>
  <c r="AU528" i="25"/>
  <c r="AU529" i="25"/>
  <c r="AU530" i="25"/>
  <c r="AU531" i="25"/>
  <c r="AU532" i="25"/>
  <c r="AU533" i="25"/>
  <c r="AU534" i="25"/>
  <c r="AU535" i="25"/>
  <c r="AU536" i="25"/>
  <c r="AU537" i="25"/>
  <c r="AU538" i="25"/>
  <c r="AU539" i="25"/>
  <c r="AU540" i="25"/>
  <c r="AU541" i="25"/>
  <c r="AU542" i="25"/>
  <c r="AU543" i="25"/>
  <c r="AU544" i="25"/>
  <c r="AU545" i="25"/>
  <c r="AU546" i="25"/>
  <c r="AU547" i="25"/>
  <c r="AU548" i="25"/>
  <c r="AU549" i="25"/>
  <c r="AU550" i="25"/>
  <c r="AU551" i="25"/>
  <c r="AU552" i="25"/>
  <c r="AU553" i="25"/>
  <c r="AU554" i="25"/>
  <c r="AU555" i="25"/>
  <c r="AU556" i="25"/>
  <c r="AU557" i="25"/>
  <c r="AU558" i="25"/>
  <c r="AU559" i="25"/>
  <c r="AU560" i="25"/>
  <c r="AU561" i="25"/>
  <c r="AU562" i="25"/>
  <c r="AU563" i="25"/>
  <c r="AU564" i="25"/>
  <c r="AU565" i="25"/>
  <c r="AU566" i="25"/>
  <c r="AU567" i="25"/>
  <c r="AU568" i="25"/>
  <c r="AU569" i="25"/>
  <c r="AU570" i="25"/>
  <c r="AU571" i="25"/>
  <c r="AU572" i="25"/>
  <c r="AU573" i="25"/>
  <c r="AU574" i="25"/>
  <c r="AU575" i="25"/>
  <c r="AU576" i="25"/>
  <c r="AU577" i="25"/>
  <c r="AU578" i="25"/>
  <c r="AU579" i="25"/>
  <c r="AU580" i="25"/>
  <c r="AU581" i="25"/>
  <c r="AU582" i="25"/>
  <c r="AU583" i="25"/>
  <c r="AU584" i="25"/>
  <c r="AU585" i="25"/>
  <c r="AU586" i="25"/>
  <c r="AU587" i="25"/>
  <c r="AU588" i="25"/>
  <c r="AU589" i="25"/>
  <c r="AU590" i="25"/>
  <c r="AU591" i="25"/>
  <c r="AU592" i="25"/>
  <c r="AU593" i="25"/>
  <c r="AU594" i="25"/>
  <c r="AU595" i="25"/>
  <c r="AU596" i="25"/>
  <c r="AU597" i="25"/>
  <c r="AU598" i="25"/>
  <c r="AU599" i="25"/>
  <c r="AU600" i="25"/>
  <c r="AU601" i="25"/>
  <c r="AU602" i="25"/>
  <c r="AU603" i="25"/>
  <c r="AU604" i="25"/>
  <c r="AU605" i="25"/>
  <c r="AU606" i="25"/>
  <c r="AU607" i="25"/>
  <c r="AU608" i="25"/>
  <c r="AU609" i="25"/>
  <c r="AU610" i="25"/>
  <c r="AU611" i="25"/>
  <c r="AU612" i="25"/>
  <c r="AU613" i="25"/>
  <c r="AU614" i="25"/>
  <c r="AU615" i="25"/>
  <c r="AU616" i="25"/>
  <c r="AU617" i="25"/>
  <c r="AU618" i="25"/>
  <c r="AU619" i="25"/>
  <c r="AU620" i="25"/>
  <c r="AU621" i="25"/>
  <c r="AU622" i="25"/>
  <c r="AU623" i="25"/>
  <c r="AU624" i="25"/>
  <c r="AU625" i="25"/>
  <c r="AU626" i="25"/>
  <c r="AU627" i="25"/>
  <c r="AU628" i="25"/>
  <c r="AU629" i="25"/>
  <c r="AU630" i="25"/>
  <c r="AU631" i="25"/>
  <c r="AU632" i="25"/>
  <c r="AU633" i="25"/>
  <c r="AU634" i="25"/>
  <c r="AU635" i="25"/>
  <c r="AU636" i="25"/>
  <c r="AU637" i="25"/>
  <c r="AU638" i="25"/>
  <c r="AU639" i="25"/>
  <c r="AU640" i="25"/>
  <c r="AU641" i="25"/>
  <c r="AU642" i="25"/>
  <c r="AU643" i="25"/>
  <c r="AU644" i="25"/>
  <c r="AU645" i="25"/>
  <c r="AU646" i="25"/>
  <c r="AU647" i="25"/>
  <c r="AU648" i="25"/>
  <c r="AU649" i="25"/>
  <c r="AU650" i="25"/>
  <c r="AU651" i="25"/>
  <c r="AU652" i="25"/>
  <c r="AU653" i="25"/>
  <c r="AU654" i="25"/>
  <c r="AU655" i="25"/>
  <c r="AU656" i="25"/>
  <c r="AU657" i="25"/>
  <c r="AU658" i="25"/>
  <c r="AU659" i="25"/>
  <c r="AU660" i="25"/>
  <c r="AU661" i="25"/>
  <c r="AU662" i="25"/>
  <c r="AU663" i="25"/>
  <c r="AU664" i="25"/>
  <c r="AU665" i="25"/>
  <c r="AU666" i="25"/>
  <c r="AU667" i="25"/>
  <c r="AU668" i="25"/>
  <c r="AU669" i="25"/>
  <c r="AU670" i="25"/>
  <c r="AU671" i="25"/>
  <c r="AU672" i="25"/>
  <c r="AU673" i="25"/>
  <c r="AU674" i="25"/>
  <c r="AU675" i="25"/>
  <c r="AU676" i="25"/>
  <c r="AU677" i="25"/>
  <c r="AU678" i="25"/>
  <c r="AU679" i="25"/>
  <c r="AU680" i="25"/>
  <c r="AU681" i="25"/>
  <c r="AU682" i="25"/>
  <c r="AU683" i="25"/>
  <c r="AU684" i="25"/>
  <c r="AU685" i="25"/>
  <c r="AU686" i="25"/>
  <c r="AU687" i="25"/>
  <c r="AU688" i="25"/>
  <c r="AU689" i="25"/>
  <c r="AU690" i="25"/>
  <c r="AU691" i="25"/>
  <c r="AU692" i="25"/>
  <c r="AU693" i="25"/>
  <c r="AU694" i="25"/>
  <c r="AU695" i="25"/>
  <c r="AU696" i="25"/>
  <c r="AU697" i="25"/>
  <c r="AU698" i="25"/>
  <c r="AU699" i="25"/>
  <c r="AU700" i="25"/>
  <c r="AU701" i="25"/>
  <c r="AU702" i="25"/>
  <c r="AU703" i="25"/>
  <c r="AU704" i="25"/>
  <c r="AU705" i="25"/>
  <c r="AU706" i="25"/>
  <c r="AU707" i="25"/>
  <c r="AU708" i="25"/>
  <c r="AU709" i="25"/>
  <c r="AU710" i="25"/>
  <c r="AU711" i="25"/>
  <c r="AU712" i="25"/>
  <c r="AU713" i="25"/>
  <c r="AU714" i="25"/>
  <c r="AU715" i="25"/>
  <c r="AU716" i="25"/>
  <c r="AU717" i="25"/>
  <c r="AU718" i="25"/>
  <c r="AU719" i="25"/>
  <c r="AU720" i="25"/>
  <c r="AU721" i="25"/>
  <c r="AU722" i="25"/>
  <c r="AU723" i="25"/>
  <c r="AU724" i="25"/>
  <c r="AU725" i="25"/>
  <c r="AU726" i="25"/>
  <c r="AU727" i="25"/>
  <c r="AU728" i="25"/>
  <c r="AU729" i="25"/>
  <c r="AU730" i="25"/>
  <c r="AU731" i="25"/>
  <c r="AU732" i="25"/>
  <c r="AU733" i="25"/>
  <c r="AU734" i="25"/>
  <c r="AU735" i="25"/>
  <c r="AU736" i="25"/>
  <c r="AU737" i="25"/>
  <c r="AU738" i="25"/>
  <c r="AU739" i="25"/>
  <c r="AU740" i="25"/>
  <c r="AU741" i="25"/>
  <c r="AU742" i="25"/>
  <c r="AU743" i="25"/>
  <c r="AU744" i="25"/>
  <c r="AU745" i="25"/>
  <c r="AU746" i="25"/>
  <c r="AU747" i="25"/>
  <c r="AU748" i="25"/>
  <c r="AU749" i="25"/>
  <c r="AU750" i="25"/>
  <c r="AU751" i="25"/>
  <c r="AU752" i="25"/>
  <c r="AU753" i="25"/>
  <c r="AU754" i="25"/>
  <c r="AU755" i="25"/>
  <c r="AU756" i="25"/>
  <c r="AU757" i="25"/>
  <c r="AU758" i="25"/>
  <c r="AU759" i="25"/>
  <c r="AU760" i="25"/>
  <c r="AU761" i="25"/>
  <c r="AU762" i="25"/>
  <c r="AU763" i="25"/>
  <c r="AU764" i="25"/>
  <c r="AU765" i="25"/>
  <c r="AU766" i="25"/>
  <c r="AU767" i="25"/>
  <c r="AU768" i="25"/>
  <c r="AU769" i="25"/>
  <c r="AU770" i="25"/>
  <c r="AU771" i="25"/>
  <c r="AU772" i="25"/>
  <c r="AU773" i="25"/>
  <c r="AU774" i="25"/>
  <c r="AU775" i="25"/>
  <c r="AU776" i="25"/>
  <c r="AU777" i="25"/>
  <c r="AU778" i="25"/>
  <c r="AU779" i="25"/>
  <c r="AU780" i="25"/>
  <c r="AU781" i="25"/>
  <c r="AU782" i="25"/>
  <c r="AU783" i="25"/>
  <c r="AU784" i="25"/>
  <c r="AU785" i="25"/>
  <c r="AU786" i="25"/>
  <c r="AU787" i="25"/>
  <c r="AU788" i="25"/>
  <c r="AU789" i="25"/>
  <c r="AU790" i="25"/>
  <c r="AU791" i="25"/>
  <c r="AU792" i="25"/>
  <c r="AU793" i="25"/>
  <c r="AU794" i="25"/>
  <c r="AU795" i="25"/>
  <c r="AU796" i="25"/>
  <c r="AU797" i="25"/>
  <c r="AU798" i="25"/>
  <c r="AU799" i="25"/>
  <c r="AU800" i="25"/>
  <c r="AU801" i="25"/>
  <c r="AU802" i="25"/>
  <c r="AU803" i="25"/>
  <c r="AU804" i="25"/>
  <c r="AU805" i="25"/>
  <c r="AU806" i="25"/>
  <c r="AU807" i="25"/>
  <c r="AU808" i="25"/>
  <c r="AU809" i="25"/>
  <c r="AU810" i="25"/>
  <c r="AU811" i="25"/>
  <c r="AU812" i="25"/>
  <c r="AU813" i="25"/>
  <c r="AU814" i="25"/>
  <c r="AU815" i="25"/>
  <c r="AU816" i="25"/>
  <c r="AU817" i="25"/>
  <c r="AU818" i="25"/>
  <c r="AU819" i="25"/>
  <c r="AU820" i="25"/>
  <c r="AU821" i="25"/>
  <c r="AU822" i="25"/>
  <c r="AU823" i="25"/>
  <c r="AU824" i="25"/>
  <c r="AU825" i="25"/>
  <c r="AU826" i="25"/>
  <c r="AU827" i="25"/>
  <c r="AU828" i="25"/>
  <c r="AU829" i="25"/>
  <c r="AU830" i="25"/>
  <c r="AU831" i="25"/>
  <c r="AU832" i="25"/>
  <c r="AU833" i="25"/>
  <c r="AU834" i="25"/>
  <c r="AU835" i="25"/>
  <c r="AU836" i="25"/>
  <c r="AU837" i="25"/>
  <c r="AU838" i="25"/>
  <c r="AU839" i="25"/>
  <c r="AU840" i="25"/>
  <c r="AU841" i="25"/>
  <c r="AU842" i="25"/>
  <c r="AU843" i="25"/>
  <c r="AU844" i="25"/>
  <c r="AU845" i="25"/>
  <c r="AU846" i="25"/>
  <c r="AU847" i="25"/>
  <c r="AU848" i="25"/>
  <c r="AU849" i="25"/>
  <c r="AU850" i="25"/>
  <c r="AU851" i="25"/>
  <c r="AU852" i="25"/>
  <c r="AU853" i="25"/>
  <c r="AU854" i="25"/>
  <c r="AU855" i="25"/>
  <c r="AU856" i="25"/>
  <c r="AU857" i="25"/>
  <c r="AU858" i="25"/>
  <c r="AU859" i="25"/>
  <c r="AU860" i="25"/>
  <c r="AU861" i="25"/>
  <c r="AU862" i="25"/>
  <c r="AU863" i="25"/>
  <c r="AU864" i="25"/>
  <c r="AU865" i="25"/>
  <c r="AU866" i="25"/>
  <c r="AU867" i="25"/>
  <c r="AU868" i="25"/>
  <c r="AU869" i="25"/>
  <c r="AU870" i="25"/>
  <c r="AU871" i="25"/>
  <c r="AU872" i="25"/>
  <c r="AU873" i="25"/>
  <c r="AU874" i="25"/>
  <c r="AU875" i="25"/>
  <c r="AU876" i="25"/>
  <c r="AU877" i="25"/>
  <c r="AU878" i="25"/>
  <c r="AU879" i="25"/>
  <c r="AU880" i="25"/>
  <c r="AU881" i="25"/>
  <c r="AU882" i="25"/>
  <c r="AU883" i="25"/>
  <c r="AU884" i="25"/>
  <c r="AU885" i="25"/>
  <c r="AU886" i="25"/>
  <c r="AU887" i="25"/>
  <c r="AU888" i="25"/>
  <c r="AU889" i="25"/>
  <c r="AU890" i="25"/>
  <c r="AU891" i="25"/>
  <c r="AU892" i="25"/>
  <c r="AU893" i="25"/>
  <c r="AU894" i="25"/>
  <c r="AU895" i="25"/>
  <c r="AU896" i="25"/>
  <c r="AU897" i="25"/>
  <c r="AU898" i="25"/>
  <c r="AU899" i="25"/>
  <c r="AU900" i="25"/>
  <c r="AU901" i="25"/>
  <c r="AU902" i="25"/>
  <c r="AU903" i="25"/>
  <c r="AU904" i="25"/>
  <c r="AU905" i="25"/>
  <c r="AU906" i="25"/>
  <c r="AU907" i="25"/>
  <c r="AU908" i="25"/>
  <c r="AU909" i="25"/>
  <c r="AU910" i="25"/>
  <c r="AU911" i="25"/>
  <c r="AU912" i="25"/>
  <c r="AU913" i="25"/>
  <c r="AU914" i="25"/>
  <c r="AU915" i="25"/>
  <c r="AU916" i="25"/>
  <c r="AU917" i="25"/>
  <c r="AU918" i="25"/>
  <c r="AU919" i="25"/>
  <c r="AU920" i="25"/>
  <c r="AU921" i="25"/>
  <c r="AU922" i="25"/>
  <c r="AU923" i="25"/>
  <c r="AU924" i="25"/>
  <c r="AU925" i="25"/>
  <c r="AU926" i="25"/>
  <c r="AU927" i="25"/>
  <c r="AU928" i="25"/>
  <c r="AU929" i="25"/>
  <c r="AU930" i="25"/>
  <c r="AU931" i="25"/>
  <c r="AU932" i="25"/>
  <c r="AU933" i="25"/>
  <c r="AU934" i="25"/>
  <c r="AU935" i="25"/>
  <c r="AU936" i="25"/>
  <c r="AU937" i="25"/>
  <c r="AU938" i="25"/>
  <c r="AU939" i="25"/>
  <c r="AU940" i="25"/>
  <c r="AU941" i="25"/>
  <c r="AU942" i="25"/>
  <c r="AU943" i="25"/>
  <c r="AU944" i="25"/>
  <c r="AU945" i="25"/>
  <c r="AU946" i="25"/>
  <c r="AU947" i="25"/>
  <c r="AU948" i="25"/>
  <c r="AU949" i="25"/>
  <c r="AU950" i="25"/>
  <c r="AU951" i="25"/>
  <c r="AU952" i="25"/>
  <c r="AU953" i="25"/>
  <c r="AU954" i="25"/>
  <c r="AU955" i="25"/>
  <c r="AU956" i="25"/>
  <c r="AU957" i="25"/>
  <c r="AU958" i="25"/>
  <c r="AU959" i="25"/>
  <c r="AU960" i="25"/>
  <c r="AU961" i="25"/>
  <c r="AU962" i="25"/>
  <c r="AU963" i="25"/>
  <c r="AU964" i="25"/>
  <c r="AU965" i="25"/>
  <c r="AU966" i="25"/>
  <c r="AU967" i="25"/>
  <c r="AU968" i="25"/>
  <c r="AU969" i="25"/>
  <c r="AU970" i="25"/>
  <c r="AU971" i="25"/>
  <c r="AU972" i="25"/>
  <c r="AU973" i="25"/>
  <c r="AU974" i="25"/>
  <c r="AU975" i="25"/>
  <c r="AU976" i="25"/>
  <c r="AU977" i="25"/>
  <c r="AU978" i="25"/>
  <c r="AU979" i="25"/>
  <c r="AU980" i="25"/>
  <c r="AU981" i="25"/>
  <c r="AU982" i="25"/>
  <c r="AU983" i="25"/>
  <c r="AU984" i="25"/>
  <c r="AU985" i="25"/>
  <c r="AU986" i="25"/>
  <c r="AU987" i="25"/>
  <c r="AU988" i="25"/>
  <c r="AU989" i="25"/>
  <c r="AU990" i="25"/>
  <c r="AU991" i="25"/>
  <c r="AU992" i="25"/>
  <c r="AU993" i="25"/>
  <c r="AU994" i="25"/>
  <c r="AU995" i="25"/>
  <c r="AU996" i="25"/>
  <c r="AU997" i="25"/>
  <c r="AU998" i="25"/>
  <c r="AU999" i="25"/>
  <c r="AU1000" i="25"/>
  <c r="AU1001" i="25"/>
  <c r="AU1002" i="25"/>
  <c r="AU1003" i="25"/>
  <c r="AU1004" i="25"/>
  <c r="AU1005" i="25"/>
  <c r="AU1006" i="25"/>
  <c r="AU1007" i="25"/>
  <c r="AU1008" i="25"/>
  <c r="AU1009" i="25"/>
  <c r="AU1010" i="25"/>
  <c r="AU1011" i="25"/>
  <c r="AU1012" i="25"/>
  <c r="AU1013" i="25"/>
  <c r="AU1014" i="25"/>
  <c r="AU1015" i="25"/>
  <c r="AU1016" i="25"/>
  <c r="AU1017" i="25"/>
  <c r="AU1018" i="25"/>
  <c r="AU1019" i="25"/>
  <c r="AU1020" i="25"/>
  <c r="AU1021" i="25"/>
  <c r="AU1022" i="25"/>
  <c r="AU1023" i="25"/>
  <c r="AU1024" i="25"/>
  <c r="AU1025" i="25"/>
  <c r="AU1026" i="25"/>
  <c r="AU1027" i="25"/>
  <c r="AU1028" i="25"/>
  <c r="AU1029" i="25"/>
  <c r="AU1030" i="25"/>
  <c r="AU1031" i="25"/>
  <c r="AU1032" i="25"/>
  <c r="AU1033" i="25"/>
  <c r="AU1034" i="25"/>
  <c r="AU1035" i="25"/>
  <c r="AU1036" i="25"/>
  <c r="AU1037" i="25"/>
  <c r="AU1038" i="25"/>
  <c r="AU1039" i="25"/>
  <c r="AU1040" i="25"/>
  <c r="AU1041" i="25"/>
  <c r="AU1042" i="25"/>
  <c r="AU1043" i="25"/>
  <c r="AU1044" i="25"/>
  <c r="AU1045" i="25"/>
  <c r="AU1046" i="25"/>
  <c r="AU1047" i="25"/>
  <c r="AU1048" i="25"/>
  <c r="AU1049" i="25"/>
  <c r="AU1050" i="25"/>
  <c r="AU1051" i="25"/>
  <c r="AU1052" i="25"/>
  <c r="AU1053" i="25"/>
  <c r="AU1054" i="25"/>
  <c r="AU1055" i="25"/>
  <c r="AU1056" i="25"/>
  <c r="AU1057" i="25"/>
  <c r="AU1058" i="25"/>
  <c r="AU1059" i="25"/>
  <c r="AU1060" i="25"/>
  <c r="AU1061" i="25"/>
  <c r="AU1062" i="25"/>
  <c r="AU1063" i="25"/>
  <c r="AU1064" i="25"/>
  <c r="AU1065" i="25"/>
  <c r="AU1066" i="25"/>
  <c r="AU1068" i="25"/>
  <c r="AU1069" i="25"/>
  <c r="AU1070" i="25"/>
  <c r="AU1071" i="25"/>
  <c r="AU1072" i="25"/>
  <c r="AU1073" i="25"/>
  <c r="AU1074" i="25"/>
  <c r="AU1075" i="25"/>
  <c r="AU1076" i="25"/>
  <c r="AU1077" i="25"/>
  <c r="AU1078" i="25"/>
  <c r="AU1079" i="25"/>
  <c r="AU1080" i="25"/>
  <c r="AU1081" i="25"/>
  <c r="AU1082" i="25"/>
  <c r="AU1083" i="25"/>
  <c r="AU1084" i="25"/>
  <c r="AU1085" i="25"/>
  <c r="AU1086" i="25"/>
  <c r="AU1087" i="25"/>
  <c r="AU1088" i="25"/>
  <c r="AU1089" i="25"/>
  <c r="AU1090" i="25"/>
  <c r="AU1091" i="25"/>
  <c r="AU1092" i="25"/>
  <c r="AU1093" i="25"/>
  <c r="AU1094" i="25"/>
  <c r="AU1095" i="25"/>
  <c r="AU1096" i="25"/>
  <c r="AU1097" i="25"/>
  <c r="AU1098" i="25"/>
  <c r="AU1099" i="25"/>
  <c r="AU1100" i="25"/>
  <c r="AU1101" i="25"/>
  <c r="AU1102" i="25"/>
  <c r="AU1103" i="25"/>
  <c r="AU1104" i="25"/>
  <c r="AU1105" i="25"/>
  <c r="AU1106" i="25"/>
  <c r="AU1107" i="25"/>
  <c r="AU1108" i="25"/>
  <c r="AU1109" i="25"/>
  <c r="AU1110" i="25"/>
  <c r="AU1111" i="25"/>
  <c r="AU1112" i="25"/>
  <c r="AU1113" i="25"/>
  <c r="AU1114" i="25"/>
  <c r="AU1115" i="25"/>
  <c r="AU1116" i="25"/>
  <c r="AU1117" i="25"/>
  <c r="AU1118" i="25"/>
  <c r="AU1119" i="25"/>
  <c r="AU1120" i="25"/>
  <c r="AU1121" i="25"/>
  <c r="AU1122" i="25"/>
  <c r="AU1123" i="25"/>
  <c r="AU1124" i="25"/>
  <c r="AU1125" i="25"/>
  <c r="AU1126" i="25"/>
  <c r="AU1127" i="25"/>
  <c r="AU1128" i="25"/>
  <c r="AU1129" i="25"/>
  <c r="AU1130" i="25"/>
  <c r="AU1131" i="25"/>
  <c r="AU1132" i="25"/>
  <c r="AU1133" i="25"/>
  <c r="AU1134" i="25"/>
  <c r="AU1135" i="25"/>
  <c r="AU1136" i="25"/>
  <c r="AU1137" i="25"/>
  <c r="AU1138" i="25"/>
  <c r="AU1139" i="25"/>
  <c r="AU1140" i="25"/>
  <c r="AU1141" i="25"/>
  <c r="AU1142" i="25"/>
  <c r="AU1143" i="25"/>
  <c r="AU1144" i="25"/>
  <c r="AU1145" i="25"/>
  <c r="AU1146" i="25"/>
  <c r="AU1147" i="25"/>
  <c r="AU1148" i="25"/>
  <c r="AU1149" i="25"/>
  <c r="AU1150" i="25"/>
  <c r="AU1151" i="25"/>
  <c r="AU1152" i="25"/>
  <c r="AU1153" i="25"/>
  <c r="AU1154" i="25"/>
  <c r="AU1155" i="25"/>
  <c r="AU1156" i="25"/>
  <c r="AU1157" i="25"/>
  <c r="AU1158" i="25"/>
  <c r="AU1159" i="25"/>
  <c r="AU3" i="25"/>
  <c r="C1169" i="21" l="1"/>
  <c r="C1170" i="21"/>
  <c r="C1171" i="21"/>
  <c r="C1172" i="21"/>
  <c r="C1173" i="21"/>
  <c r="C1174" i="21"/>
  <c r="C1175" i="21"/>
  <c r="C1176" i="21"/>
  <c r="C1177" i="21"/>
  <c r="C1178" i="21"/>
  <c r="C1179" i="21"/>
  <c r="C1180" i="21"/>
  <c r="C1181" i="21"/>
  <c r="C1182" i="21"/>
  <c r="C1183" i="21"/>
  <c r="C1184" i="21"/>
  <c r="C1185" i="21"/>
  <c r="C1186" i="21"/>
  <c r="C1187" i="21"/>
  <c r="C1188" i="21"/>
  <c r="C1190" i="21"/>
  <c r="C1191" i="21"/>
  <c r="C1193" i="21"/>
  <c r="C1194" i="21"/>
  <c r="C1196" i="21"/>
  <c r="C1199" i="21"/>
  <c r="C1201" i="21"/>
  <c r="C1208" i="21"/>
  <c r="C1210" i="21"/>
  <c r="C1211" i="21"/>
  <c r="C1218" i="21"/>
  <c r="I576" i="25" l="1"/>
  <c r="I1037" i="25"/>
  <c r="AN14" i="18"/>
  <c r="AN16" i="18"/>
  <c r="AN21" i="18"/>
  <c r="AN19" i="18"/>
  <c r="AN45" i="18"/>
  <c r="AN7" i="18"/>
  <c r="AN23" i="18"/>
  <c r="AN6" i="18"/>
  <c r="AN38" i="18"/>
  <c r="AN25" i="18"/>
  <c r="AN4" i="18"/>
  <c r="AM22" i="18" l="1"/>
  <c r="AM26" i="18"/>
  <c r="AM16" i="18"/>
  <c r="AM18" i="18"/>
  <c r="AM45" i="18"/>
  <c r="AM21" i="18"/>
  <c r="AM13" i="18"/>
  <c r="AM30" i="18"/>
  <c r="AM40" i="18"/>
  <c r="AM9" i="18"/>
  <c r="AM4" i="18"/>
  <c r="AM29" i="18"/>
  <c r="AM24" i="18"/>
  <c r="AM49" i="18"/>
  <c r="AM23" i="18"/>
  <c r="AM10" i="18"/>
  <c r="AM43" i="18"/>
  <c r="AM44" i="18"/>
  <c r="E15" i="9" l="1"/>
  <c r="AL21" i="18"/>
  <c r="AL11" i="18"/>
  <c r="AL46" i="18"/>
  <c r="AL25" i="18"/>
  <c r="AK15" i="18" l="1"/>
  <c r="AK6" i="18"/>
  <c r="AK29" i="18"/>
  <c r="AK32" i="18"/>
  <c r="AK33" i="18"/>
  <c r="AK35" i="18"/>
  <c r="AK47" i="18"/>
  <c r="AK39" i="18"/>
  <c r="AK44" i="18"/>
  <c r="U31" i="18" l="1"/>
  <c r="U32" i="18"/>
  <c r="U49" i="18"/>
  <c r="C49" i="18" s="1"/>
  <c r="C1214" i="21" s="1"/>
  <c r="U50" i="18"/>
  <c r="C54" i="18" l="1"/>
  <c r="C1219" i="21" s="1"/>
  <c r="U58" i="18"/>
  <c r="AJ16" i="18" l="1"/>
  <c r="AJ15" i="18"/>
  <c r="AJ21" i="18"/>
  <c r="AJ14" i="18"/>
  <c r="AJ13" i="18"/>
  <c r="AJ6" i="18"/>
  <c r="AJ22" i="18"/>
  <c r="AJ23" i="18"/>
  <c r="AJ38" i="18"/>
  <c r="AJ31" i="18"/>
  <c r="AJ45" i="18"/>
  <c r="AJ10" i="18"/>
  <c r="AJ39" i="18"/>
  <c r="AJ44" i="18"/>
  <c r="AJ41" i="18"/>
  <c r="AJ36" i="18"/>
  <c r="AJ35" i="18"/>
  <c r="AJ18" i="18"/>
  <c r="AJ4" i="18"/>
  <c r="AJ29" i="18"/>
  <c r="AJ28" i="18"/>
  <c r="AJ24" i="18"/>
  <c r="AN1117" i="25" l="1"/>
  <c r="AI45" i="18" l="1"/>
  <c r="AI10" i="18"/>
  <c r="AI21" i="18"/>
  <c r="AI32" i="18"/>
  <c r="AI44" i="18"/>
  <c r="AI38" i="18"/>
  <c r="AI23" i="18"/>
  <c r="AI27" i="18"/>
  <c r="C27" i="18" s="1"/>
  <c r="C1192" i="21" s="1"/>
  <c r="AI41" i="18"/>
  <c r="AM411" i="25" l="1"/>
  <c r="C50" i="18" l="1"/>
  <c r="C1215" i="21" s="1"/>
  <c r="AH30" i="18"/>
  <c r="AH23" i="18"/>
  <c r="AH10" i="18"/>
  <c r="AH45" i="18"/>
  <c r="AH17" i="18"/>
  <c r="AH16" i="18"/>
  <c r="AH18" i="18"/>
  <c r="AH15" i="18"/>
  <c r="AH14" i="18"/>
  <c r="AH12" i="18"/>
  <c r="AH38" i="18"/>
  <c r="AH32" i="18"/>
  <c r="AH40" i="18"/>
  <c r="AH39" i="18"/>
  <c r="AH41" i="18"/>
  <c r="AH6" i="18"/>
  <c r="AH44" i="18"/>
  <c r="AH36" i="18"/>
  <c r="AH35" i="18"/>
  <c r="AH21" i="18"/>
  <c r="AH28" i="18"/>
  <c r="AH24" i="18"/>
  <c r="C24" i="18" s="1"/>
  <c r="C1189" i="21" s="1"/>
  <c r="C30" i="18" l="1"/>
  <c r="C1195" i="21" s="1"/>
  <c r="AL1117" i="25"/>
  <c r="C52" i="18" l="1"/>
  <c r="C1217" i="21" s="1"/>
  <c r="AG18" i="18"/>
  <c r="AG13" i="18"/>
  <c r="AK1037" i="25"/>
  <c r="AK662" i="25"/>
  <c r="AK1062" i="25"/>
  <c r="AE47" i="18" l="1"/>
  <c r="C47" i="18" s="1"/>
  <c r="C1212" i="21" s="1"/>
  <c r="AE26" i="18"/>
  <c r="AE15" i="18"/>
  <c r="AE10" i="18"/>
  <c r="AE5" i="18"/>
  <c r="AE30" i="18"/>
  <c r="AE6" i="18"/>
  <c r="AE29" i="18"/>
  <c r="AE39" i="18"/>
  <c r="AE41" i="18"/>
  <c r="AE17" i="18"/>
  <c r="C41" i="18" l="1"/>
  <c r="C1206" i="21" s="1"/>
  <c r="AD19" i="18"/>
  <c r="AD13" i="18"/>
  <c r="AD21" i="18"/>
  <c r="AD15" i="18"/>
  <c r="AD14" i="18"/>
  <c r="AD9" i="18"/>
  <c r="AD5" i="18"/>
  <c r="AD23" i="18"/>
  <c r="AD6" i="18"/>
  <c r="AD33" i="18"/>
  <c r="AD10" i="18"/>
  <c r="AD29" i="18"/>
  <c r="AD36" i="18"/>
  <c r="AD18" i="18"/>
  <c r="AD17" i="18"/>
  <c r="U25" i="18" l="1"/>
  <c r="AD1135" i="25" l="1"/>
  <c r="AD1083" i="25" l="1"/>
  <c r="U27" i="18" l="1"/>
  <c r="C51" i="18" s="1"/>
  <c r="C1216" i="21" s="1"/>
  <c r="U24" i="18"/>
  <c r="C44" i="18" s="1"/>
  <c r="C1209" i="21" s="1"/>
  <c r="U23" i="18"/>
  <c r="C42" i="18" s="1"/>
  <c r="C1207" i="21" s="1"/>
  <c r="J576" i="25"/>
  <c r="U26" i="18"/>
  <c r="U10" i="18"/>
  <c r="U4" i="18"/>
  <c r="C39" i="26" l="1"/>
  <c r="C38" i="26"/>
  <c r="C37" i="26"/>
  <c r="C36" i="26"/>
  <c r="C35" i="26"/>
  <c r="C33" i="26"/>
  <c r="C32" i="26"/>
  <c r="C31" i="26"/>
  <c r="C30" i="26"/>
  <c r="C27" i="26"/>
  <c r="C24" i="26"/>
  <c r="C23" i="26"/>
  <c r="C21" i="26"/>
  <c r="C19" i="26"/>
  <c r="C13" i="26"/>
  <c r="C9" i="26"/>
  <c r="G563" i="25" l="1"/>
  <c r="G569" i="25"/>
  <c r="G1088" i="25"/>
  <c r="C33" i="18" l="1"/>
  <c r="C1198" i="21" s="1"/>
  <c r="V10" i="18"/>
  <c r="U9" i="18"/>
  <c r="V9" i="18" s="1"/>
  <c r="U8" i="18"/>
  <c r="V8" i="18" s="1"/>
  <c r="C38" i="18" s="1"/>
  <c r="C1203" i="21" s="1"/>
  <c r="U7" i="18"/>
  <c r="V7" i="18" s="1"/>
  <c r="C40" i="18" s="1"/>
  <c r="C1205" i="21" s="1"/>
  <c r="U5" i="18"/>
  <c r="V5" i="18" s="1"/>
  <c r="C35" i="18" s="1"/>
  <c r="C1200" i="21" s="1"/>
  <c r="U6" i="18"/>
  <c r="V6" i="18" s="1"/>
  <c r="C39" i="18" s="1"/>
  <c r="C1204" i="21" s="1"/>
  <c r="V4" i="18"/>
  <c r="C32" i="18" s="1"/>
  <c r="C1197" i="21" s="1"/>
  <c r="C37" i="18" l="1"/>
  <c r="C1202" i="21" s="1"/>
  <c r="R27" i="18"/>
  <c r="R26" i="18"/>
  <c r="R24" i="18"/>
  <c r="R23" i="18"/>
  <c r="R16" i="18"/>
  <c r="R12" i="18"/>
  <c r="N23" i="18"/>
  <c r="N20" i="18"/>
  <c r="N15" i="18"/>
  <c r="N5" i="18"/>
  <c r="N4" i="18"/>
  <c r="M18" i="18" l="1"/>
  <c r="M23" i="18"/>
  <c r="M19" i="18"/>
  <c r="M14" i="18"/>
  <c r="M10" i="18"/>
  <c r="J14" i="18"/>
  <c r="O24" i="18" l="1"/>
  <c r="O21" i="18"/>
  <c r="O19" i="18"/>
  <c r="P17" i="18"/>
  <c r="O13" i="18"/>
  <c r="O5" i="18"/>
  <c r="L23" i="18"/>
  <c r="L4" i="18"/>
  <c r="L8" i="18"/>
  <c r="L24" i="18"/>
  <c r="F1067" i="25" l="1"/>
  <c r="I1067" i="25" s="1"/>
  <c r="AU1067" i="25" s="1"/>
  <c r="K1037" i="25"/>
  <c r="F1037" i="25"/>
  <c r="J17" i="18" l="1"/>
  <c r="J18" i="18"/>
  <c r="J19" i="18"/>
  <c r="J20" i="18"/>
  <c r="J5" i="18"/>
  <c r="J6" i="18"/>
  <c r="J7" i="18"/>
  <c r="J8" i="18"/>
  <c r="J9" i="18"/>
  <c r="J10" i="18"/>
  <c r="J11" i="18"/>
  <c r="J12" i="18"/>
  <c r="J13" i="18"/>
  <c r="J15" i="18"/>
  <c r="J16" i="18"/>
  <c r="J4" i="18"/>
  <c r="H16" i="9" l="1"/>
  <c r="E16" i="9" l="1"/>
  <c r="G16" i="9"/>
  <c r="F16" i="9"/>
  <c r="D16" i="9"/>
  <c r="A7" i="9" l="1"/>
  <c r="A8" i="9" s="1"/>
  <c r="A9" i="9" s="1"/>
  <c r="A10" i="9" s="1"/>
  <c r="A11" i="9" s="1"/>
  <c r="A12" i="9" s="1"/>
  <c r="A15" i="9" s="1"/>
  <c r="A16" i="9" s="1"/>
</calcChain>
</file>

<file path=xl/comments1.xml><?xml version="1.0" encoding="utf-8"?>
<comments xmlns="http://schemas.openxmlformats.org/spreadsheetml/2006/main">
  <authors>
    <author>MAA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  <charset val="204"/>
          </rPr>
          <t>MAA:</t>
        </r>
        <r>
          <rPr>
            <sz val="8"/>
            <color indexed="81"/>
            <rFont val="Tahoma"/>
            <family val="2"/>
            <charset val="204"/>
          </rPr>
          <t xml:space="preserve">
545 остальные и 4 по решению 9 от 17.05.2010
</t>
        </r>
      </text>
    </comment>
  </commentList>
</comments>
</file>

<file path=xl/comments2.xml><?xml version="1.0" encoding="utf-8"?>
<comments xmlns="http://schemas.openxmlformats.org/spreadsheetml/2006/main">
  <authors>
    <author>sss</author>
  </authors>
  <commentList>
    <comment ref="K1067" authorId="0" shapeId="0">
      <text>
        <r>
          <rPr>
            <b/>
            <sz val="8"/>
            <color indexed="81"/>
            <rFont val="Tahoma"/>
            <family val="2"/>
            <charset val="204"/>
          </rPr>
          <t>sss:</t>
        </r>
        <r>
          <rPr>
            <sz val="8"/>
            <color indexed="81"/>
            <rFont val="Tahoma"/>
            <family val="2"/>
            <charset val="204"/>
          </rPr>
          <t xml:space="preserve">
сумма по 1 и 2 с.ш из Омнис на 1.10.2015</t>
        </r>
      </text>
    </comment>
  </commentList>
</comments>
</file>

<file path=xl/sharedStrings.xml><?xml version="1.0" encoding="utf-8"?>
<sst xmlns="http://schemas.openxmlformats.org/spreadsheetml/2006/main" count="2657" uniqueCount="177">
  <si>
    <t>Наименование подстанции</t>
  </si>
  <si>
    <t>№ п/п</t>
  </si>
  <si>
    <t>Номер договора</t>
  </si>
  <si>
    <t>Стоимость договора,  руб</t>
  </si>
  <si>
    <t>Заключенно договоров и подано заявок  на технологическое присоединение на  кВт</t>
  </si>
  <si>
    <t>Срок договора, мес.</t>
  </si>
  <si>
    <t>Объем мощности, присоединяемый по договору, кВт</t>
  </si>
  <si>
    <t>Наименование показателя</t>
  </si>
  <si>
    <t>единицы измерения</t>
  </si>
  <si>
    <t>ПС№10  "2-й подъем", 35/6кВ</t>
  </si>
  <si>
    <t>ПС№61  "Затон", 35/6кВ</t>
  </si>
  <si>
    <t>ПС "Кристалл", 110/10 кВ</t>
  </si>
  <si>
    <t>ПС "Строительная", 110/10кВ</t>
  </si>
  <si>
    <t>ПС "АТИ", 110/6кВ</t>
  </si>
  <si>
    <t>Наименование источника питания</t>
  </si>
  <si>
    <t>Подано заявок</t>
  </si>
  <si>
    <t>шт</t>
  </si>
  <si>
    <t>Мощность по поданным заявкам</t>
  </si>
  <si>
    <t>кВт</t>
  </si>
  <si>
    <t>Аннулировано заявок</t>
  </si>
  <si>
    <t>Заключено договоров</t>
  </si>
  <si>
    <t>Мощность по заключенным договорам</t>
  </si>
  <si>
    <t xml:space="preserve">Выполнено присоединений </t>
  </si>
  <si>
    <t>Резерв мощности  с учетом присоединенных потребителей</t>
  </si>
  <si>
    <t xml:space="preserve"> Резерв мощности с учетом присоединенных потребителей, заключенных договоров на технологическое присоединение, кВт</t>
  </si>
  <si>
    <t xml:space="preserve"> Информация о технологических приосединениях к сетям ОАО "Барнаульская сетевая компания"                                                                           и наличии резерва мощности по центрам питания 35кВ и выше</t>
  </si>
  <si>
    <t>ПС№10  "2-й подъем", 35/6</t>
  </si>
  <si>
    <t>ПС "Строительная", 110/6</t>
  </si>
  <si>
    <t>Сведения о договорах на технологическое присоединение,                                 заключенных в течение месяца</t>
  </si>
  <si>
    <t>Напряжение, кВ</t>
  </si>
  <si>
    <t>35/6</t>
  </si>
  <si>
    <t>110/10</t>
  </si>
  <si>
    <t>110/6</t>
  </si>
  <si>
    <t>ПС№10  "2-й подъем"</t>
  </si>
  <si>
    <t>ПС№61  "Затон"</t>
  </si>
  <si>
    <t>ПС "Кристалл"</t>
  </si>
  <si>
    <t>ПС "Строительная"</t>
  </si>
  <si>
    <t>ПС "АТИ"</t>
  </si>
  <si>
    <t>6/0,4</t>
  </si>
  <si>
    <t>10/0,4</t>
  </si>
  <si>
    <t>-</t>
  </si>
  <si>
    <t>Зам. ген. директора по развитию ООО "БСК"  _____________________   Бакунин А.В.</t>
  </si>
  <si>
    <t>старая Р</t>
  </si>
  <si>
    <t>Р за прошед. Квартал</t>
  </si>
  <si>
    <t>Остаток Р (формула)</t>
  </si>
  <si>
    <t>Остаток Р (значение)</t>
  </si>
  <si>
    <t>Резерв мощности с учетом присоединенных потребителей, заключенных договоров на технологическое присоединение, кВт</t>
  </si>
  <si>
    <t>№ РП</t>
  </si>
  <si>
    <t>4А</t>
  </si>
  <si>
    <t>источник закрыт</t>
  </si>
  <si>
    <t>Сведения о наличии объема свободной мощности для технологического присоединения потребителей трансформаторной мощности по центрам питания 35кВ и выше по состоянию на 01.10.2014</t>
  </si>
  <si>
    <t>РП</t>
  </si>
  <si>
    <t>Объем максимальной мощности</t>
  </si>
  <si>
    <t>ило</t>
  </si>
  <si>
    <t>о</t>
  </si>
  <si>
    <t>Р 1 кв. 2015</t>
  </si>
  <si>
    <t>P 1 кварт</t>
  </si>
  <si>
    <t>P резерв</t>
  </si>
  <si>
    <t>P остаток</t>
  </si>
  <si>
    <t>Р 2 кв. 2015</t>
  </si>
  <si>
    <t>2 кв 2015</t>
  </si>
  <si>
    <t>3 кв 2015</t>
  </si>
  <si>
    <t>Р 3 кв. 2015</t>
  </si>
  <si>
    <t>Р 4 кв. 2015</t>
  </si>
  <si>
    <t>Р 1 кв. 2016</t>
  </si>
  <si>
    <t>Р 2 кв. 2016</t>
  </si>
  <si>
    <t>Р 3 кв. 2016</t>
  </si>
  <si>
    <t>Р 4 кв. 2016</t>
  </si>
  <si>
    <t>2 квартал 2016</t>
  </si>
  <si>
    <t>2 кв. 2016</t>
  </si>
  <si>
    <t>3 квартал 2016</t>
  </si>
  <si>
    <t>4 квартал 2016</t>
  </si>
  <si>
    <t>на 01.01.17</t>
  </si>
  <si>
    <t>Рнагрузки</t>
  </si>
  <si>
    <t>Ррп=(Iтт рубильника*Uрп*1,73)</t>
  </si>
  <si>
    <t>РП32</t>
  </si>
  <si>
    <t>РП35</t>
  </si>
  <si>
    <t>РП39</t>
  </si>
  <si>
    <t>РП40</t>
  </si>
  <si>
    <t>РП38</t>
  </si>
  <si>
    <t>РП37</t>
  </si>
  <si>
    <t>РП33</t>
  </si>
  <si>
    <t>Максимум, кВт</t>
  </si>
  <si>
    <t>0 (через него запитана РП-32)</t>
  </si>
  <si>
    <t>Доп инф.</t>
  </si>
  <si>
    <t>кв. 2038</t>
  </si>
  <si>
    <t>кв. 2037</t>
  </si>
  <si>
    <t>кв. 2035</t>
  </si>
  <si>
    <t>РП-35</t>
  </si>
  <si>
    <t>РП-39</t>
  </si>
  <si>
    <t>Торговый центр</t>
  </si>
  <si>
    <t>(запитана с РП-33)</t>
  </si>
  <si>
    <t>Р 1 кв. 2017</t>
  </si>
  <si>
    <t>P 2 кв. 2017</t>
  </si>
  <si>
    <t>P 3 к в. 2017</t>
  </si>
  <si>
    <t>P 4 кв. 2017</t>
  </si>
  <si>
    <t>ПС "АТИ", 110/6</t>
  </si>
  <si>
    <t>P 1 кв. 2018</t>
  </si>
  <si>
    <t>P 2 кв. 2018</t>
  </si>
  <si>
    <t>P 3 кв. 2018</t>
  </si>
  <si>
    <t>P 4 кв. 2018</t>
  </si>
  <si>
    <t>РП-42</t>
  </si>
  <si>
    <t>РП-45</t>
  </si>
  <si>
    <t>P 1 кв. 2019</t>
  </si>
  <si>
    <t>P 2 кв. 2019</t>
  </si>
  <si>
    <t>P 3 кв. 2019</t>
  </si>
  <si>
    <t>P 4 кв. 2019</t>
  </si>
  <si>
    <t>Сведения о наличии объема свободной мощности для технологического присоединения потребителей трансформаторной мощности по распределительным пунктам до 35кВ по состоянию на 01.07.2019</t>
  </si>
  <si>
    <t>РП-47</t>
  </si>
  <si>
    <t>РП-48</t>
  </si>
  <si>
    <t>РП-50</t>
  </si>
  <si>
    <t>РП-51</t>
  </si>
  <si>
    <t>РП-60</t>
  </si>
  <si>
    <t>РП-49 не БСК</t>
  </si>
  <si>
    <t>не построены</t>
  </si>
  <si>
    <t>РП-61</t>
  </si>
  <si>
    <t>(уменьшили на 10%)</t>
  </si>
  <si>
    <t>(из проекта на РП)</t>
  </si>
  <si>
    <t>P 1 кв. 2020</t>
  </si>
  <si>
    <t>РП-44</t>
  </si>
  <si>
    <t>по каб.</t>
  </si>
  <si>
    <t>P 2 кв. 2020</t>
  </si>
  <si>
    <t>P 3 кв. 2020</t>
  </si>
  <si>
    <t>Генеральный директор  ООО "БСК"  _____________________   Лавринец А.И.</t>
  </si>
  <si>
    <t>Генеральный директор ООО "БСК"  _____________________   Лавринец А.И.</t>
  </si>
  <si>
    <t>P 4 кв. 2020</t>
  </si>
  <si>
    <t>4 кв. 2020</t>
  </si>
  <si>
    <t>P 1 кв. 2021</t>
  </si>
  <si>
    <t>1 кв. 2021</t>
  </si>
  <si>
    <t>РП-53</t>
  </si>
  <si>
    <t>P 2 кв. 2021</t>
  </si>
  <si>
    <t>2 кв. 2021</t>
  </si>
  <si>
    <t>P 3 кв. 2021</t>
  </si>
  <si>
    <t>3 кв. 2021</t>
  </si>
  <si>
    <t>P 4 кв. 2021</t>
  </si>
  <si>
    <t>4 кв. 2021</t>
  </si>
  <si>
    <t>Всего заключено договоров  за месяц, шт.</t>
  </si>
  <si>
    <t>Р 1 кв. 2022</t>
  </si>
  <si>
    <t>1 кв. 2022</t>
  </si>
  <si>
    <t>проектир. (ТУ №78)</t>
  </si>
  <si>
    <t>Р 2 кв. 2022</t>
  </si>
  <si>
    <t>Р 3 кв. 2022</t>
  </si>
  <si>
    <t>10/0,6</t>
  </si>
  <si>
    <t>10/0,7</t>
  </si>
  <si>
    <t>10/0,8</t>
  </si>
  <si>
    <t>10/0,9</t>
  </si>
  <si>
    <t>3 кв. 2022</t>
  </si>
  <si>
    <t>по каб. (2АСБшв 3*240 6 кВ)</t>
  </si>
  <si>
    <t>пока не отражаем, проекта нет (05.10.22)
3 кв. 2022 - 756 кВт (ТП 2128)</t>
  </si>
  <si>
    <t>пока не отражаем, нет заключ. Договоров</t>
  </si>
  <si>
    <t>по каб. УТОЧНИТЬ</t>
  </si>
  <si>
    <t>Р 4 кв. 2022</t>
  </si>
  <si>
    <t>4 кв. 2022</t>
  </si>
  <si>
    <t>Р 1 кв. 2023</t>
  </si>
  <si>
    <t>1 кв. 2023</t>
  </si>
  <si>
    <t>ПС "Кристалл", 110/10</t>
  </si>
  <si>
    <t>ПС№61  "Затон", 35/6</t>
  </si>
  <si>
    <t>Р 2 кв. 2023</t>
  </si>
  <si>
    <t>2 кв. 2023</t>
  </si>
  <si>
    <t>Р 3 кв. 2023</t>
  </si>
  <si>
    <t>3 кв. 2023</t>
  </si>
  <si>
    <t>4900 Аэропорт для закрытия РП</t>
  </si>
  <si>
    <t>Р 4 кв. 2023</t>
  </si>
  <si>
    <t>4 кв 2023</t>
  </si>
  <si>
    <t>Сведения о  заявках и договорах на технологическое присоединение к сетям  ООО "БСК" за декабрь 2023 г.</t>
  </si>
  <si>
    <t>03-01.23.0909</t>
  </si>
  <si>
    <t>12</t>
  </si>
  <si>
    <t>03-01.23.0945</t>
  </si>
  <si>
    <t>03-01.23.0869</t>
  </si>
  <si>
    <t>Сведения о заключенных договорах на технологическое присоединение по участкам электрической сети 
ООО "Барнаульская сетевая компания" за декабрь 2023 г.</t>
  </si>
  <si>
    <t>Сведения о наличии объема свободной мощности для технологического присоединения потребителей трансформаторной мощности по центрам питания до 35кВ по состоянию на 01.01.2024</t>
  </si>
  <si>
    <t>Сведения о наличии объема свободной мощности для технологического присоединения потребителей трансформаторной мощности по распределительным пунктам до 35кВ по состоянию на 01.01.2024</t>
  </si>
  <si>
    <t>3500 (4 кв 2023)</t>
  </si>
  <si>
    <t>754,7 (2 кв 2023)</t>
  </si>
  <si>
    <t>по каб. (АСБшв 3*185 6 кВ)</t>
  </si>
  <si>
    <t>проекта нет</t>
  </si>
  <si>
    <t>Сведения о наличии объема свободной мощности для технологического присоединения потребителей трансформаторной мощности по центрам питания 35кВ и выше по состоянию на 29.01.2024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</si>
</sst>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₽&quot;;\-#,##0.00\ &quot;₽&quot;"/>
    <numFmt numFmtId="164" formatCode="0.000"/>
    <numFmt numFmtId="165" formatCode="#,##0.00&quot; &quot;[$руб.-419];[Red]&quot;-&quot;#,##0.00&quot; &quot;[$руб.-419]"/>
  </numFmts>
  <fonts count="4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Arial Cyr"/>
      <charset val="204"/>
    </font>
    <font>
      <sz val="10"/>
      <color rgb="FF000000"/>
      <name val="Arial1"/>
      <charset val="204"/>
    </font>
    <font>
      <sz val="11"/>
      <color rgb="FF000000"/>
      <name val="Arial1"/>
      <charset val="204"/>
    </font>
    <font>
      <b/>
      <sz val="11"/>
      <color rgb="FF000000"/>
      <name val="Arial1"/>
      <charset val="204"/>
    </font>
    <font>
      <u/>
      <sz val="10"/>
      <color rgb="FF0000FF"/>
      <name val="Arial Cyr"/>
      <charset val="204"/>
    </font>
    <font>
      <b/>
      <i/>
      <sz val="16"/>
      <color rgb="FF000000"/>
      <name val="Arial1"/>
      <charset val="204"/>
    </font>
    <font>
      <b/>
      <i/>
      <u/>
      <sz val="11"/>
      <color rgb="FF000000"/>
      <name val="Arial1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1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1"/>
      <color theme="9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1">
    <xf numFmtId="0" fontId="0" fillId="0" borderId="0"/>
    <xf numFmtId="0" fontId="17" fillId="0" borderId="0"/>
    <xf numFmtId="0" fontId="28" fillId="0" borderId="0"/>
    <xf numFmtId="0" fontId="27" fillId="0" borderId="1" applyNumberFormat="0" applyProtection="0">
      <alignment horizontal="center" vertical="center" wrapText="1"/>
    </xf>
    <xf numFmtId="0" fontId="30" fillId="0" borderId="0"/>
    <xf numFmtId="0" fontId="31" fillId="0" borderId="0">
      <alignment horizontal="center"/>
    </xf>
    <xf numFmtId="0" fontId="31" fillId="0" borderId="0">
      <alignment horizontal="center" textRotation="90"/>
    </xf>
    <xf numFmtId="0" fontId="32" fillId="0" borderId="0"/>
    <xf numFmtId="165" fontId="32" fillId="0" borderId="0"/>
    <xf numFmtId="0" fontId="29" fillId="0" borderId="0">
      <alignment horizontal="left"/>
    </xf>
    <xf numFmtId="0" fontId="28" fillId="0" borderId="0"/>
    <xf numFmtId="0" fontId="28" fillId="0" borderId="0">
      <alignment horizontal="left"/>
    </xf>
    <xf numFmtId="0" fontId="28" fillId="0" borderId="0"/>
    <xf numFmtId="0" fontId="29" fillId="0" borderId="0"/>
    <xf numFmtId="0" fontId="28" fillId="0" borderId="0"/>
    <xf numFmtId="0" fontId="15" fillId="0" borderId="0"/>
    <xf numFmtId="0" fontId="33" fillId="0" borderId="0"/>
    <xf numFmtId="0" fontId="40" fillId="0" borderId="0"/>
    <xf numFmtId="0" fontId="43" fillId="0" borderId="0"/>
    <xf numFmtId="0" fontId="44" fillId="0" borderId="0"/>
    <xf numFmtId="0" fontId="45" fillId="0" borderId="0"/>
  </cellStyleXfs>
  <cellXfs count="359">
    <xf numFmtId="0" fontId="0" fillId="0" borderId="0" xfId="0"/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7" fillId="0" borderId="1" xfId="3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1" applyFont="1"/>
    <xf numFmtId="0" fontId="24" fillId="0" borderId="0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4" fontId="24" fillId="2" borderId="3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5" fillId="0" borderId="0" xfId="15"/>
    <xf numFmtId="0" fontId="34" fillId="0" borderId="29" xfId="3" applyFont="1" applyBorder="1">
      <alignment horizontal="center" vertical="center" wrapText="1"/>
    </xf>
    <xf numFmtId="0" fontId="34" fillId="0" borderId="19" xfId="3" applyFont="1" applyBorder="1">
      <alignment horizontal="center" vertical="center" wrapText="1"/>
    </xf>
    <xf numFmtId="0" fontId="34" fillId="0" borderId="2" xfId="3" applyFont="1" applyBorder="1">
      <alignment horizontal="center" vertical="center" wrapText="1"/>
    </xf>
    <xf numFmtId="0" fontId="34" fillId="0" borderId="1" xfId="3" applyFont="1" applyBorder="1">
      <alignment horizontal="center" vertical="center" wrapText="1"/>
    </xf>
    <xf numFmtId="0" fontId="34" fillId="0" borderId="4" xfId="3" applyFont="1" applyBorder="1">
      <alignment horizontal="center" vertical="center" wrapText="1"/>
    </xf>
    <xf numFmtId="0" fontId="34" fillId="0" borderId="5" xfId="3" applyFont="1" applyBorder="1">
      <alignment horizontal="center" vertical="center" wrapText="1"/>
    </xf>
    <xf numFmtId="0" fontId="36" fillId="0" borderId="0" xfId="15" applyFont="1"/>
    <xf numFmtId="0" fontId="24" fillId="0" borderId="0" xfId="0" applyFont="1" applyAlignment="1"/>
    <xf numFmtId="0" fontId="34" fillId="0" borderId="5" xfId="3" applyFont="1" applyBorder="1" applyAlignment="1">
      <alignment horizontal="center" vertical="center" wrapText="1"/>
    </xf>
    <xf numFmtId="0" fontId="34" fillId="0" borderId="35" xfId="3" applyFont="1" applyBorder="1" applyAlignment="1">
      <alignment horizontal="center" vertical="center" wrapText="1"/>
    </xf>
    <xf numFmtId="0" fontId="34" fillId="0" borderId="36" xfId="3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7" fillId="0" borderId="22" xfId="3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top" wrapText="1"/>
    </xf>
    <xf numFmtId="0" fontId="37" fillId="0" borderId="38" xfId="0" applyFont="1" applyBorder="1" applyAlignment="1">
      <alignment vertical="top" wrapText="1"/>
    </xf>
    <xf numFmtId="0" fontId="37" fillId="0" borderId="31" xfId="0" applyFont="1" applyBorder="1" applyAlignment="1">
      <alignment vertical="top" wrapText="1"/>
    </xf>
    <xf numFmtId="0" fontId="37" fillId="0" borderId="25" xfId="0" applyFont="1" applyBorder="1" applyAlignment="1">
      <alignment vertical="top" wrapText="1"/>
    </xf>
    <xf numFmtId="0" fontId="24" fillId="0" borderId="1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vertical="top" wrapText="1"/>
    </xf>
    <xf numFmtId="0" fontId="37" fillId="0" borderId="25" xfId="0" applyFont="1" applyFill="1" applyBorder="1" applyAlignment="1">
      <alignment vertical="top" wrapText="1"/>
    </xf>
    <xf numFmtId="0" fontId="35" fillId="0" borderId="0" xfId="15" applyFont="1" applyFill="1"/>
    <xf numFmtId="0" fontId="33" fillId="0" borderId="0" xfId="0" applyFont="1" applyFill="1"/>
    <xf numFmtId="0" fontId="14" fillId="0" borderId="0" xfId="15" applyFont="1"/>
    <xf numFmtId="0" fontId="24" fillId="2" borderId="10" xfId="0" applyFont="1" applyFill="1" applyBorder="1" applyAlignment="1">
      <alignment horizontal="center" vertical="center" wrapText="1"/>
    </xf>
    <xf numFmtId="0" fontId="34" fillId="0" borderId="5" xfId="3" applyFont="1" applyBorder="1" applyAlignment="1">
      <alignment horizontal="center" vertical="center" wrapText="1"/>
    </xf>
    <xf numFmtId="0" fontId="34" fillId="0" borderId="19" xfId="3" applyFont="1" applyBorder="1" applyAlignment="1">
      <alignment horizontal="center" vertical="center" wrapText="1"/>
    </xf>
    <xf numFmtId="0" fontId="34" fillId="0" borderId="1" xfId="3" applyFont="1" applyBorder="1" applyAlignment="1">
      <alignment horizontal="center" vertical="center" wrapText="1"/>
    </xf>
    <xf numFmtId="0" fontId="34" fillId="0" borderId="22" xfId="3" applyFont="1" applyBorder="1">
      <alignment horizontal="center" vertical="center" wrapText="1"/>
    </xf>
    <xf numFmtId="49" fontId="25" fillId="0" borderId="5" xfId="0" applyNumberFormat="1" applyFont="1" applyFill="1" applyBorder="1" applyAlignment="1">
      <alignment horizontal="center" vertical="center" wrapText="1"/>
    </xf>
    <xf numFmtId="0" fontId="25" fillId="0" borderId="5" xfId="0" applyNumberFormat="1" applyFont="1" applyFill="1" applyBorder="1" applyAlignment="1">
      <alignment horizontal="center" vertical="center" wrapText="1"/>
    </xf>
    <xf numFmtId="164" fontId="25" fillId="0" borderId="6" xfId="0" applyNumberFormat="1" applyFont="1" applyFill="1" applyBorder="1" applyAlignment="1">
      <alignment horizontal="center" vertical="center" wrapText="1"/>
    </xf>
    <xf numFmtId="0" fontId="38" fillId="0" borderId="33" xfId="3" applyFont="1" applyFill="1" applyBorder="1">
      <alignment horizontal="center" vertical="center" wrapText="1"/>
    </xf>
    <xf numFmtId="3" fontId="38" fillId="0" borderId="1" xfId="3" applyNumberFormat="1" applyFont="1" applyFill="1">
      <alignment horizontal="center" vertical="center" wrapText="1"/>
    </xf>
    <xf numFmtId="0" fontId="38" fillId="0" borderId="1" xfId="3" applyNumberFormat="1" applyFont="1" applyFill="1">
      <alignment horizontal="center" vertical="center" wrapText="1"/>
    </xf>
    <xf numFmtId="3" fontId="33" fillId="0" borderId="0" xfId="0" applyNumberFormat="1" applyFont="1" applyFill="1"/>
    <xf numFmtId="0" fontId="24" fillId="2" borderId="33" xfId="0" applyFont="1" applyFill="1" applyBorder="1" applyAlignment="1">
      <alignment horizontal="center" vertical="center" wrapText="1"/>
    </xf>
    <xf numFmtId="0" fontId="24" fillId="2" borderId="34" xfId="0" applyFont="1" applyFill="1" applyBorder="1" applyAlignment="1">
      <alignment horizontal="center" vertical="center" wrapText="1"/>
    </xf>
    <xf numFmtId="0" fontId="13" fillId="0" borderId="0" xfId="15" applyFont="1"/>
    <xf numFmtId="0" fontId="30" fillId="0" borderId="0" xfId="4"/>
    <xf numFmtId="0" fontId="24" fillId="0" borderId="22" xfId="0" applyFont="1" applyFill="1" applyBorder="1" applyAlignment="1">
      <alignment horizontal="center" vertical="center" wrapText="1"/>
    </xf>
    <xf numFmtId="0" fontId="38" fillId="0" borderId="1" xfId="3" applyFont="1">
      <alignment horizontal="center" vertical="center" wrapText="1"/>
    </xf>
    <xf numFmtId="0" fontId="35" fillId="0" borderId="0" xfId="15" applyFont="1" applyFill="1" applyBorder="1"/>
    <xf numFmtId="1" fontId="33" fillId="0" borderId="0" xfId="0" applyNumberFormat="1" applyFont="1" applyFill="1"/>
    <xf numFmtId="0" fontId="12" fillId="0" borderId="0" xfId="15" applyFont="1"/>
    <xf numFmtId="0" fontId="24" fillId="0" borderId="1" xfId="15" applyFont="1" applyFill="1" applyBorder="1" applyAlignment="1">
      <alignment horizontal="center" vertical="center"/>
    </xf>
    <xf numFmtId="0" fontId="24" fillId="0" borderId="29" xfId="3" applyFont="1" applyFill="1" applyBorder="1" applyAlignment="1">
      <alignment horizontal="center" vertical="center" wrapText="1"/>
    </xf>
    <xf numFmtId="0" fontId="24" fillId="0" borderId="19" xfId="3" applyFont="1" applyFill="1" applyBorder="1" applyAlignment="1">
      <alignment horizontal="center" vertical="center" wrapText="1"/>
    </xf>
    <xf numFmtId="0" fontId="24" fillId="0" borderId="2" xfId="3" applyFont="1" applyFill="1" applyBorder="1" applyAlignment="1">
      <alignment horizontal="center" vertical="center" wrapText="1"/>
    </xf>
    <xf numFmtId="0" fontId="24" fillId="0" borderId="1" xfId="3" applyFont="1" applyFill="1" applyBorder="1" applyAlignment="1">
      <alignment horizontal="center" vertical="center" wrapText="1"/>
    </xf>
    <xf numFmtId="0" fontId="24" fillId="0" borderId="15" xfId="3" applyFont="1" applyFill="1" applyBorder="1" applyAlignment="1">
      <alignment horizontal="center" vertical="center" wrapText="1"/>
    </xf>
    <xf numFmtId="0" fontId="35" fillId="0" borderId="0" xfId="15" applyFont="1" applyFill="1" applyAlignment="1">
      <alignment horizontal="center" vertical="center"/>
    </xf>
    <xf numFmtId="0" fontId="11" fillId="0" borderId="0" xfId="15" applyFont="1" applyAlignment="1">
      <alignment horizontal="center" vertical="center"/>
    </xf>
    <xf numFmtId="0" fontId="35" fillId="0" borderId="46" xfId="15" applyFont="1" applyFill="1" applyBorder="1"/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vertical="center" wrapText="1"/>
    </xf>
    <xf numFmtId="0" fontId="38" fillId="0" borderId="29" xfId="3" applyFont="1" applyFill="1" applyBorder="1">
      <alignment horizontal="center" vertical="center" wrapText="1"/>
    </xf>
    <xf numFmtId="0" fontId="38" fillId="0" borderId="8" xfId="3" applyFont="1" applyFill="1" applyBorder="1">
      <alignment horizontal="center" vertical="center" wrapText="1"/>
    </xf>
    <xf numFmtId="0" fontId="38" fillId="0" borderId="2" xfId="3" applyFont="1" applyFill="1" applyBorder="1">
      <alignment horizontal="center" vertical="center" wrapText="1"/>
    </xf>
    <xf numFmtId="0" fontId="38" fillId="0" borderId="1" xfId="3" applyFont="1" applyFill="1" applyBorder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4" fillId="0" borderId="3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4" fontId="24" fillId="2" borderId="6" xfId="0" applyNumberFormat="1" applyFont="1" applyFill="1" applyBorder="1" applyAlignment="1">
      <alignment horizontal="center" vertical="center" wrapText="1"/>
    </xf>
    <xf numFmtId="0" fontId="24" fillId="0" borderId="20" xfId="3" applyFont="1" applyFill="1" applyBorder="1">
      <alignment horizontal="center" vertical="center" wrapText="1"/>
    </xf>
    <xf numFmtId="0" fontId="24" fillId="0" borderId="21" xfId="3" applyFont="1" applyFill="1" applyBorder="1">
      <alignment horizontal="center" vertical="center" wrapText="1"/>
    </xf>
    <xf numFmtId="0" fontId="24" fillId="0" borderId="23" xfId="3" applyFont="1" applyFill="1" applyBorder="1">
      <alignment horizontal="center" vertical="center" wrapText="1"/>
    </xf>
    <xf numFmtId="0" fontId="24" fillId="0" borderId="42" xfId="3" applyFont="1" applyFill="1" applyBorder="1">
      <alignment horizontal="center" vertical="center" wrapText="1"/>
    </xf>
    <xf numFmtId="0" fontId="24" fillId="0" borderId="43" xfId="3" applyFont="1" applyFill="1" applyBorder="1">
      <alignment horizontal="center" vertical="center" wrapText="1"/>
    </xf>
    <xf numFmtId="0" fontId="24" fillId="0" borderId="44" xfId="3" applyFont="1" applyFill="1" applyBorder="1">
      <alignment horizontal="center" vertical="center" wrapText="1"/>
    </xf>
    <xf numFmtId="0" fontId="24" fillId="0" borderId="1" xfId="3" applyFont="1" applyFill="1" applyBorder="1" applyAlignment="1">
      <alignment horizontal="center" vertical="center" wrapText="1"/>
    </xf>
    <xf numFmtId="0" fontId="38" fillId="0" borderId="0" xfId="3" applyFont="1" applyFill="1" applyBorder="1">
      <alignment horizontal="center" vertical="center" wrapText="1"/>
    </xf>
    <xf numFmtId="0" fontId="38" fillId="0" borderId="1" xfId="3" applyFont="1" applyFill="1">
      <alignment horizontal="center" vertical="center" wrapText="1"/>
    </xf>
    <xf numFmtId="0" fontId="38" fillId="0" borderId="20" xfId="3" applyFont="1" applyFill="1" applyBorder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2" fontId="38" fillId="0" borderId="1" xfId="3" applyNumberFormat="1" applyFont="1" applyFill="1">
      <alignment horizontal="center" vertical="center" wrapText="1"/>
    </xf>
    <xf numFmtId="0" fontId="39" fillId="0" borderId="2" xfId="3" applyFont="1" applyFill="1" applyBorder="1" applyAlignment="1">
      <alignment horizontal="center" vertical="center" wrapText="1"/>
    </xf>
    <xf numFmtId="0" fontId="39" fillId="0" borderId="1" xfId="15" applyFont="1" applyFill="1" applyBorder="1" applyAlignment="1">
      <alignment horizontal="center" vertical="center"/>
    </xf>
    <xf numFmtId="0" fontId="39" fillId="0" borderId="39" xfId="3" applyFont="1" applyFill="1" applyBorder="1" applyAlignment="1">
      <alignment horizontal="center" vertical="center" wrapText="1"/>
    </xf>
    <xf numFmtId="0" fontId="24" fillId="0" borderId="7" xfId="3" applyFont="1" applyFill="1" applyBorder="1" applyAlignment="1">
      <alignment horizontal="center" vertical="center" wrapText="1"/>
    </xf>
    <xf numFmtId="0" fontId="24" fillId="0" borderId="8" xfId="3" applyFont="1" applyFill="1" applyBorder="1" applyAlignment="1">
      <alignment horizontal="center" vertical="center" wrapText="1"/>
    </xf>
    <xf numFmtId="0" fontId="24" fillId="0" borderId="2" xfId="15" applyFont="1" applyFill="1" applyBorder="1" applyAlignment="1">
      <alignment horizontal="center" vertical="center"/>
    </xf>
    <xf numFmtId="0" fontId="36" fillId="0" borderId="0" xfId="15" applyFont="1" applyAlignment="1">
      <alignment horizontal="center"/>
    </xf>
    <xf numFmtId="0" fontId="24" fillId="0" borderId="1" xfId="3" applyFont="1" applyFill="1" applyBorder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0" fillId="0" borderId="1" xfId="15" applyFont="1" applyBorder="1"/>
    <xf numFmtId="0" fontId="35" fillId="0" borderId="1" xfId="15" applyFont="1" applyFill="1" applyBorder="1" applyAlignment="1">
      <alignment horizontal="center" vertical="center"/>
    </xf>
    <xf numFmtId="0" fontId="35" fillId="0" borderId="1" xfId="15" applyFont="1" applyFill="1" applyBorder="1"/>
    <xf numFmtId="0" fontId="34" fillId="0" borderId="56" xfId="3" applyFont="1" applyBorder="1">
      <alignment horizontal="center" vertical="center" wrapText="1"/>
    </xf>
    <xf numFmtId="3" fontId="38" fillId="0" borderId="1" xfId="3" applyNumberFormat="1" applyFont="1" applyFill="1" applyBorder="1">
      <alignment horizontal="center" vertical="center" wrapText="1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8" fillId="0" borderId="1" xfId="3" applyNumberFormat="1" applyFont="1" applyFill="1" applyBorder="1">
      <alignment horizontal="center" vertical="center" wrapText="1"/>
    </xf>
    <xf numFmtId="0" fontId="34" fillId="0" borderId="53" xfId="3" applyFont="1" applyBorder="1">
      <alignment horizontal="center" vertical="center" wrapText="1"/>
    </xf>
    <xf numFmtId="0" fontId="24" fillId="0" borderId="20" xfId="3" applyFont="1" applyFill="1" applyBorder="1">
      <alignment horizontal="center" vertical="center" wrapText="1"/>
    </xf>
    <xf numFmtId="0" fontId="24" fillId="0" borderId="21" xfId="3" applyFont="1" applyFill="1" applyBorder="1">
      <alignment horizontal="center" vertical="center" wrapText="1"/>
    </xf>
    <xf numFmtId="0" fontId="24" fillId="0" borderId="23" xfId="3" applyFont="1" applyFill="1" applyBorder="1">
      <alignment horizontal="center" vertical="center" wrapText="1"/>
    </xf>
    <xf numFmtId="0" fontId="24" fillId="0" borderId="1" xfId="3" applyFont="1" applyFill="1" applyBorder="1" applyAlignment="1">
      <alignment horizontal="center" vertical="center" wrapText="1"/>
    </xf>
    <xf numFmtId="0" fontId="41" fillId="0" borderId="0" xfId="15" applyFont="1" applyFill="1"/>
    <xf numFmtId="0" fontId="41" fillId="0" borderId="1" xfId="15" applyFont="1" applyFill="1" applyBorder="1"/>
    <xf numFmtId="0" fontId="42" fillId="0" borderId="0" xfId="0" applyFont="1" applyAlignment="1">
      <alignment horizontal="left" vertical="center" wrapText="1"/>
    </xf>
    <xf numFmtId="4" fontId="24" fillId="0" borderId="20" xfId="3" applyNumberFormat="1" applyFont="1" applyFill="1" applyBorder="1" applyAlignment="1">
      <alignment horizontal="center" vertical="center" wrapText="1"/>
    </xf>
    <xf numFmtId="4" fontId="24" fillId="0" borderId="24" xfId="3" applyNumberFormat="1" applyFont="1" applyFill="1" applyBorder="1" applyAlignment="1">
      <alignment horizontal="center" vertical="center" wrapText="1"/>
    </xf>
    <xf numFmtId="0" fontId="24" fillId="0" borderId="39" xfId="3" applyFont="1" applyFill="1" applyBorder="1" applyAlignment="1">
      <alignment horizontal="center" vertical="center" wrapText="1"/>
    </xf>
    <xf numFmtId="0" fontId="33" fillId="0" borderId="0" xfId="0" applyFont="1" applyFill="1" applyAlignment="1">
      <alignment wrapText="1"/>
    </xf>
    <xf numFmtId="0" fontId="24" fillId="0" borderId="22" xfId="3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24" fillId="0" borderId="1" xfId="3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3" fontId="38" fillId="0" borderId="0" xfId="3" applyNumberFormat="1" applyFont="1" applyFill="1" applyBorder="1">
      <alignment horizontal="center" vertical="center" wrapText="1"/>
    </xf>
    <xf numFmtId="4" fontId="24" fillId="2" borderId="58" xfId="0" applyNumberFormat="1" applyFont="1" applyFill="1" applyBorder="1" applyAlignment="1">
      <alignment horizontal="center" vertical="center" wrapText="1"/>
    </xf>
    <xf numFmtId="0" fontId="24" fillId="2" borderId="33" xfId="0" applyFont="1" applyFill="1" applyBorder="1" applyAlignment="1">
      <alignment horizontal="center" vertical="center" wrapText="1"/>
    </xf>
    <xf numFmtId="0" fontId="24" fillId="0" borderId="1" xfId="3" applyFont="1" applyFill="1" applyBorder="1" applyAlignment="1">
      <alignment horizontal="center" vertical="center" wrapText="1"/>
    </xf>
    <xf numFmtId="0" fontId="9" fillId="0" borderId="0" xfId="15" applyFont="1"/>
    <xf numFmtId="0" fontId="24" fillId="2" borderId="4" xfId="0" applyFont="1" applyFill="1" applyBorder="1" applyAlignment="1">
      <alignment horizontal="center" vertical="center" wrapText="1"/>
    </xf>
    <xf numFmtId="0" fontId="24" fillId="0" borderId="1" xfId="3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wrapText="1"/>
    </xf>
    <xf numFmtId="0" fontId="24" fillId="0" borderId="28" xfId="0" applyFont="1" applyFill="1" applyBorder="1" applyAlignment="1">
      <alignment horizontal="center" vertical="center" wrapText="1"/>
    </xf>
    <xf numFmtId="0" fontId="38" fillId="0" borderId="1" xfId="3" applyNumberFormat="1" applyFont="1" applyFill="1" applyAlignment="1">
      <alignment horizontal="center" vertical="center" wrapText="1"/>
    </xf>
    <xf numFmtId="0" fontId="38" fillId="0" borderId="1" xfId="3" applyNumberFormat="1" applyFont="1" applyFill="1" applyBorder="1" applyAlignment="1">
      <alignment horizontal="center" vertical="center" wrapText="1"/>
    </xf>
    <xf numFmtId="2" fontId="40" fillId="0" borderId="0" xfId="17" applyNumberFormat="1" applyFont="1" applyFill="1" applyBorder="1" applyAlignment="1">
      <alignment horizontal="center"/>
    </xf>
    <xf numFmtId="2" fontId="40" fillId="0" borderId="1" xfId="17" applyNumberFormat="1" applyFont="1" applyFill="1" applyBorder="1" applyAlignment="1">
      <alignment horizontal="center"/>
    </xf>
    <xf numFmtId="0" fontId="38" fillId="0" borderId="0" xfId="3" applyNumberFormat="1" applyFont="1" applyFill="1" applyBorder="1" applyAlignment="1">
      <alignment horizontal="center" vertical="center" wrapText="1"/>
    </xf>
    <xf numFmtId="0" fontId="38" fillId="0" borderId="33" xfId="3" applyFont="1" applyFill="1" applyBorder="1" applyAlignment="1">
      <alignment horizontal="center" vertical="center" wrapText="1"/>
    </xf>
    <xf numFmtId="0" fontId="15" fillId="0" borderId="0" xfId="15" applyFill="1"/>
    <xf numFmtId="0" fontId="0" fillId="0" borderId="0" xfId="0" applyAlignment="1">
      <alignment vertical="top"/>
    </xf>
    <xf numFmtId="0" fontId="38" fillId="0" borderId="12" xfId="3" applyFont="1" applyFill="1" applyBorder="1">
      <alignment horizontal="center" vertical="center" wrapText="1"/>
    </xf>
    <xf numFmtId="0" fontId="8" fillId="0" borderId="0" xfId="15" applyFont="1"/>
    <xf numFmtId="0" fontId="24" fillId="2" borderId="11" xfId="0" applyFont="1" applyFill="1" applyBorder="1" applyAlignment="1">
      <alignment horizontal="center" vertical="center" wrapText="1"/>
    </xf>
    <xf numFmtId="0" fontId="24" fillId="2" borderId="11" xfId="0" applyNumberFormat="1" applyFont="1" applyFill="1" applyBorder="1" applyAlignment="1">
      <alignment horizontal="center" vertical="center" wrapText="1"/>
    </xf>
    <xf numFmtId="0" fontId="0" fillId="0" borderId="0" xfId="0" applyBorder="1"/>
    <xf numFmtId="2" fontId="40" fillId="0" borderId="0" xfId="17" applyNumberFormat="1" applyFill="1" applyBorder="1" applyAlignment="1">
      <alignment horizontal="center"/>
    </xf>
    <xf numFmtId="0" fontId="24" fillId="0" borderId="1" xfId="3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4" fillId="0" borderId="1" xfId="3" applyFont="1" applyFill="1" applyBorder="1" applyAlignment="1">
      <alignment horizontal="center" vertical="center" wrapText="1"/>
    </xf>
    <xf numFmtId="0" fontId="38" fillId="0" borderId="0" xfId="3" applyNumberFormat="1" applyFont="1" applyFill="1" applyBorder="1">
      <alignment horizontal="center" vertical="center" wrapText="1"/>
    </xf>
    <xf numFmtId="3" fontId="38" fillId="3" borderId="1" xfId="3" applyNumberFormat="1" applyFont="1" applyFill="1">
      <alignment horizontal="center" vertical="center" wrapText="1"/>
    </xf>
    <xf numFmtId="0" fontId="33" fillId="3" borderId="0" xfId="0" applyFont="1" applyFill="1"/>
    <xf numFmtId="0" fontId="38" fillId="3" borderId="1" xfId="3" applyNumberFormat="1" applyFont="1" applyFill="1">
      <alignment horizontal="center" vertical="center" wrapText="1"/>
    </xf>
    <xf numFmtId="0" fontId="7" fillId="0" borderId="0" xfId="15" applyFont="1"/>
    <xf numFmtId="0" fontId="0" fillId="0" borderId="0" xfId="0" applyFill="1"/>
    <xf numFmtId="0" fontId="0" fillId="0" borderId="0" xfId="0" applyFill="1" applyBorder="1"/>
    <xf numFmtId="0" fontId="24" fillId="0" borderId="5" xfId="0" applyFont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3" fontId="38" fillId="0" borderId="1" xfId="3" applyNumberFormat="1" applyFont="1" applyFill="1" applyAlignment="1">
      <alignment horizontal="center" vertical="center" wrapText="1"/>
    </xf>
    <xf numFmtId="3" fontId="38" fillId="0" borderId="1" xfId="3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4" fillId="0" borderId="4" xfId="3" applyFont="1" applyFill="1" applyBorder="1" applyAlignment="1">
      <alignment horizontal="center" vertical="center" wrapText="1"/>
    </xf>
    <xf numFmtId="0" fontId="24" fillId="0" borderId="5" xfId="3" applyFont="1" applyFill="1" applyBorder="1" applyAlignment="1">
      <alignment horizontal="center" vertical="center" wrapText="1"/>
    </xf>
    <xf numFmtId="14" fontId="24" fillId="2" borderId="1" xfId="0" applyNumberFormat="1" applyFont="1" applyFill="1" applyBorder="1" applyAlignment="1">
      <alignment horizontal="center" vertical="center" wrapText="1"/>
    </xf>
    <xf numFmtId="0" fontId="24" fillId="0" borderId="1" xfId="3" applyFont="1" applyFill="1" applyBorder="1" applyAlignment="1">
      <alignment horizontal="center" vertical="center" wrapText="1"/>
    </xf>
    <xf numFmtId="0" fontId="6" fillId="0" borderId="0" xfId="15" applyFont="1"/>
    <xf numFmtId="0" fontId="40" fillId="0" borderId="0" xfId="17"/>
    <xf numFmtId="0" fontId="24" fillId="0" borderId="0" xfId="3" applyFont="1" applyFill="1" applyBorder="1" applyAlignment="1">
      <alignment horizontal="center" vertical="center" wrapText="1"/>
    </xf>
    <xf numFmtId="0" fontId="24" fillId="3" borderId="2" xfId="3" applyFont="1" applyFill="1" applyBorder="1" applyAlignment="1">
      <alignment horizontal="center" vertical="center" wrapText="1"/>
    </xf>
    <xf numFmtId="0" fontId="24" fillId="3" borderId="1" xfId="3" applyFont="1" applyFill="1" applyBorder="1" applyAlignment="1">
      <alignment horizontal="center" vertical="center" wrapText="1"/>
    </xf>
    <xf numFmtId="4" fontId="24" fillId="3" borderId="20" xfId="3" applyNumberFormat="1" applyFont="1" applyFill="1" applyBorder="1" applyAlignment="1">
      <alignment horizontal="center" vertical="center" wrapText="1"/>
    </xf>
    <xf numFmtId="0" fontId="24" fillId="3" borderId="0" xfId="3" applyFont="1" applyFill="1" applyBorder="1" applyAlignment="1">
      <alignment horizontal="center" vertical="center" wrapText="1"/>
    </xf>
    <xf numFmtId="4" fontId="24" fillId="3" borderId="0" xfId="3" applyNumberFormat="1" applyFont="1" applyFill="1" applyBorder="1" applyAlignment="1">
      <alignment horizontal="center" vertical="center" wrapText="1"/>
    </xf>
    <xf numFmtId="0" fontId="15" fillId="5" borderId="0" xfId="15" applyFill="1"/>
    <xf numFmtId="0" fontId="6" fillId="5" borderId="0" xfId="15" applyFont="1" applyFill="1"/>
    <xf numFmtId="0" fontId="35" fillId="5" borderId="0" xfId="15" applyFont="1" applyFill="1"/>
    <xf numFmtId="0" fontId="6" fillId="3" borderId="0" xfId="15" applyFont="1" applyFill="1"/>
    <xf numFmtId="4" fontId="0" fillId="0" borderId="0" xfId="0" applyNumberFormat="1" applyBorder="1" applyAlignment="1">
      <alignment horizontal="center" vertical="center"/>
    </xf>
    <xf numFmtId="0" fontId="38" fillId="6" borderId="1" xfId="3" applyFont="1" applyFill="1" applyBorder="1">
      <alignment horizontal="center" vertical="center" wrapText="1"/>
    </xf>
    <xf numFmtId="3" fontId="38" fillId="6" borderId="1" xfId="3" applyNumberFormat="1" applyFont="1" applyFill="1" applyAlignment="1">
      <alignment horizontal="center" vertical="center" wrapText="1"/>
    </xf>
    <xf numFmtId="0" fontId="33" fillId="6" borderId="0" xfId="0" applyFont="1" applyFill="1"/>
    <xf numFmtId="3" fontId="38" fillId="6" borderId="1" xfId="3" applyNumberFormat="1" applyFont="1" applyFill="1">
      <alignment horizontal="center" vertical="center" wrapText="1"/>
    </xf>
    <xf numFmtId="0" fontId="38" fillId="6" borderId="1" xfId="3" applyNumberFormat="1" applyFont="1" applyFill="1" applyAlignment="1">
      <alignment horizontal="center" vertical="center" wrapText="1"/>
    </xf>
    <xf numFmtId="0" fontId="38" fillId="6" borderId="1" xfId="3" applyNumberFormat="1" applyFont="1" applyFill="1">
      <alignment horizontal="center" vertical="center" wrapText="1"/>
    </xf>
    <xf numFmtId="3" fontId="33" fillId="6" borderId="0" xfId="0" applyNumberFormat="1" applyFont="1" applyFill="1"/>
    <xf numFmtId="0" fontId="38" fillId="7" borderId="1" xfId="3" applyFont="1" applyFill="1" applyBorder="1">
      <alignment horizontal="center" vertical="center" wrapText="1"/>
    </xf>
    <xf numFmtId="3" fontId="38" fillId="7" borderId="1" xfId="3" applyNumberFormat="1" applyFont="1" applyFill="1" applyAlignment="1">
      <alignment horizontal="center" vertical="center" wrapText="1"/>
    </xf>
    <xf numFmtId="0" fontId="33" fillId="7" borderId="0" xfId="0" applyFont="1" applyFill="1"/>
    <xf numFmtId="3" fontId="38" fillId="7" borderId="1" xfId="3" applyNumberFormat="1" applyFont="1" applyFill="1">
      <alignment horizontal="center" vertical="center" wrapText="1"/>
    </xf>
    <xf numFmtId="0" fontId="38" fillId="7" borderId="1" xfId="3" applyNumberFormat="1" applyFont="1" applyFill="1" applyAlignment="1">
      <alignment horizontal="center" vertical="center" wrapText="1"/>
    </xf>
    <xf numFmtId="0" fontId="38" fillId="7" borderId="1" xfId="3" applyNumberFormat="1" applyFont="1" applyFill="1">
      <alignment horizontal="center" vertical="center" wrapText="1"/>
    </xf>
    <xf numFmtId="3" fontId="33" fillId="7" borderId="0" xfId="0" applyNumberFormat="1" applyFont="1" applyFill="1"/>
    <xf numFmtId="0" fontId="33" fillId="6" borderId="0" xfId="0" applyFont="1" applyFill="1" applyBorder="1"/>
    <xf numFmtId="0" fontId="5" fillId="0" borderId="0" xfId="15" applyFont="1"/>
    <xf numFmtId="14" fontId="0" fillId="0" borderId="0" xfId="0" applyNumberFormat="1"/>
    <xf numFmtId="0" fontId="4" fillId="0" borderId="0" xfId="15" applyFont="1"/>
    <xf numFmtId="4" fontId="24" fillId="0" borderId="42" xfId="3" applyNumberFormat="1" applyFont="1" applyFill="1" applyBorder="1" applyAlignment="1">
      <alignment horizontal="center" vertical="center" wrapText="1"/>
    </xf>
    <xf numFmtId="0" fontId="24" fillId="0" borderId="34" xfId="3" applyFont="1" applyFill="1" applyBorder="1" applyAlignment="1">
      <alignment horizontal="center" vertical="center" wrapText="1"/>
    </xf>
    <xf numFmtId="0" fontId="24" fillId="0" borderId="33" xfId="3" applyFont="1" applyFill="1" applyBorder="1" applyAlignment="1">
      <alignment horizontal="center" vertical="center" wrapText="1"/>
    </xf>
    <xf numFmtId="0" fontId="4" fillId="5" borderId="0" xfId="15" applyFont="1" applyFill="1"/>
    <xf numFmtId="0" fontId="3" fillId="0" borderId="0" xfId="15" applyFont="1"/>
    <xf numFmtId="0" fontId="38" fillId="3" borderId="1" xfId="3" applyFont="1" applyFill="1" applyBorder="1">
      <alignment horizontal="center" vertical="center" wrapText="1"/>
    </xf>
    <xf numFmtId="3" fontId="38" fillId="3" borderId="1" xfId="3" applyNumberFormat="1" applyFont="1" applyFill="1" applyAlignment="1">
      <alignment horizontal="center" vertical="center" wrapText="1"/>
    </xf>
    <xf numFmtId="0" fontId="38" fillId="3" borderId="1" xfId="3" applyNumberFormat="1" applyFont="1" applyFill="1" applyAlignment="1">
      <alignment horizontal="center" vertical="center" wrapText="1"/>
    </xf>
    <xf numFmtId="3" fontId="33" fillId="3" borderId="0" xfId="0" applyNumberFormat="1" applyFont="1" applyFill="1"/>
    <xf numFmtId="0" fontId="38" fillId="3" borderId="33" xfId="3" applyFont="1" applyFill="1" applyBorder="1">
      <alignment horizontal="center" vertical="center" wrapText="1"/>
    </xf>
    <xf numFmtId="0" fontId="38" fillId="0" borderId="7" xfId="3" applyFont="1" applyFill="1" applyBorder="1">
      <alignment horizontal="center" vertical="center" wrapText="1"/>
    </xf>
    <xf numFmtId="3" fontId="38" fillId="0" borderId="9" xfId="3" applyNumberFormat="1" applyFont="1" applyFill="1" applyBorder="1" applyAlignment="1">
      <alignment horizontal="center" vertical="center" wrapText="1"/>
    </xf>
    <xf numFmtId="3" fontId="38" fillId="0" borderId="3" xfId="3" applyNumberFormat="1" applyFont="1" applyFill="1" applyBorder="1" applyAlignment="1">
      <alignment horizontal="center" vertical="center" wrapText="1"/>
    </xf>
    <xf numFmtId="0" fontId="38" fillId="0" borderId="58" xfId="3" applyFont="1" applyFill="1" applyBorder="1" applyAlignment="1">
      <alignment horizontal="center" vertical="center" wrapText="1"/>
    </xf>
    <xf numFmtId="0" fontId="38" fillId="0" borderId="3" xfId="3" applyFont="1" applyFill="1" applyBorder="1">
      <alignment horizontal="center" vertical="center" wrapText="1"/>
    </xf>
    <xf numFmtId="0" fontId="33" fillId="0" borderId="59" xfId="0" applyFont="1" applyFill="1" applyBorder="1" applyAlignment="1">
      <alignment horizontal="center" vertical="center"/>
    </xf>
    <xf numFmtId="0" fontId="38" fillId="0" borderId="4" xfId="3" applyFont="1" applyFill="1" applyBorder="1">
      <alignment horizontal="center" vertical="center" wrapText="1"/>
    </xf>
    <xf numFmtId="0" fontId="38" fillId="0" borderId="5" xfId="3" applyFont="1" applyFill="1" applyBorder="1">
      <alignment horizontal="center" vertical="center" wrapText="1"/>
    </xf>
    <xf numFmtId="3" fontId="38" fillId="0" borderId="6" xfId="3" applyNumberFormat="1" applyFont="1" applyFill="1" applyBorder="1" applyAlignment="1">
      <alignment horizontal="center" vertical="center" wrapText="1"/>
    </xf>
    <xf numFmtId="0" fontId="24" fillId="0" borderId="1" xfId="3" applyFont="1" applyFill="1" applyBorder="1" applyAlignment="1">
      <alignment horizontal="center" vertical="center" wrapText="1"/>
    </xf>
    <xf numFmtId="0" fontId="38" fillId="7" borderId="33" xfId="3" applyFont="1" applyFill="1" applyBorder="1">
      <alignment horizontal="center" vertical="center" wrapText="1"/>
    </xf>
    <xf numFmtId="0" fontId="33" fillId="7" borderId="0" xfId="0" applyFont="1" applyFill="1" applyBorder="1"/>
    <xf numFmtId="0" fontId="2" fillId="0" borderId="0" xfId="15" applyFont="1"/>
    <xf numFmtId="0" fontId="37" fillId="0" borderId="0" xfId="0" applyFont="1" applyBorder="1" applyAlignment="1">
      <alignment vertical="top" wrapText="1"/>
    </xf>
    <xf numFmtId="3" fontId="38" fillId="0" borderId="0" xfId="3" applyNumberFormat="1" applyFont="1" applyFill="1" applyBorder="1" applyAlignment="1">
      <alignment horizontal="center" vertical="center" wrapText="1"/>
    </xf>
    <xf numFmtId="0" fontId="24" fillId="7" borderId="2" xfId="3" applyFont="1" applyFill="1" applyBorder="1" applyAlignment="1">
      <alignment horizontal="center" vertical="center" wrapText="1"/>
    </xf>
    <xf numFmtId="0" fontId="24" fillId="7" borderId="1" xfId="3" applyFont="1" applyFill="1" applyBorder="1" applyAlignment="1">
      <alignment horizontal="center" vertical="center" wrapText="1"/>
    </xf>
    <xf numFmtId="4" fontId="24" fillId="7" borderId="20" xfId="3" applyNumberFormat="1" applyFont="1" applyFill="1" applyBorder="1" applyAlignment="1">
      <alignment horizontal="center" vertical="center" wrapText="1"/>
    </xf>
    <xf numFmtId="0" fontId="35" fillId="7" borderId="0" xfId="15" applyFont="1" applyFill="1"/>
    <xf numFmtId="0" fontId="37" fillId="7" borderId="31" xfId="0" applyFont="1" applyFill="1" applyBorder="1" applyAlignment="1">
      <alignment vertical="top" wrapText="1"/>
    </xf>
    <xf numFmtId="0" fontId="37" fillId="7" borderId="25" xfId="0" applyFont="1" applyFill="1" applyBorder="1" applyAlignment="1">
      <alignment vertical="top" wrapText="1"/>
    </xf>
    <xf numFmtId="0" fontId="38" fillId="7" borderId="1" xfId="3" applyFont="1" applyFill="1">
      <alignment horizontal="center" vertical="center" wrapText="1"/>
    </xf>
    <xf numFmtId="0" fontId="24" fillId="7" borderId="42" xfId="3" applyFont="1" applyFill="1" applyBorder="1">
      <alignment horizontal="center" vertical="center" wrapText="1"/>
    </xf>
    <xf numFmtId="0" fontId="24" fillId="7" borderId="43" xfId="3" applyFont="1" applyFill="1" applyBorder="1">
      <alignment horizontal="center" vertical="center" wrapText="1"/>
    </xf>
    <xf numFmtId="0" fontId="24" fillId="7" borderId="44" xfId="3" applyFont="1" applyFill="1" applyBorder="1">
      <alignment horizontal="center" vertical="center" wrapText="1"/>
    </xf>
    <xf numFmtId="7" fontId="45" fillId="3" borderId="0" xfId="20" applyNumberFormat="1" applyFill="1"/>
    <xf numFmtId="0" fontId="38" fillId="3" borderId="29" xfId="3" applyFont="1" applyFill="1" applyBorder="1">
      <alignment horizontal="center" vertical="center" wrapText="1"/>
    </xf>
    <xf numFmtId="0" fontId="38" fillId="3" borderId="2" xfId="3" applyFont="1" applyFill="1" applyBorder="1">
      <alignment horizontal="center" vertical="center" wrapText="1"/>
    </xf>
    <xf numFmtId="0" fontId="33" fillId="3" borderId="0" xfId="0" applyFont="1" applyFill="1" applyBorder="1"/>
    <xf numFmtId="0" fontId="24" fillId="0" borderId="8" xfId="0" applyFont="1" applyFill="1" applyBorder="1" applyAlignment="1">
      <alignment horizontal="center" vertical="center" wrapText="1"/>
    </xf>
    <xf numFmtId="0" fontId="24" fillId="0" borderId="1" xfId="3" applyFont="1" applyFill="1" applyBorder="1" applyAlignment="1">
      <alignment horizontal="center" vertical="center" wrapText="1"/>
    </xf>
    <xf numFmtId="0" fontId="36" fillId="0" borderId="0" xfId="15" applyFont="1" applyAlignment="1">
      <alignment horizontal="center"/>
    </xf>
    <xf numFmtId="0" fontId="15" fillId="0" borderId="0" xfId="15" applyAlignment="1">
      <alignment horizontal="center"/>
    </xf>
    <xf numFmtId="0" fontId="1" fillId="0" borderId="0" xfId="15" applyFont="1" applyAlignment="1">
      <alignment horizontal="center"/>
    </xf>
    <xf numFmtId="0" fontId="35" fillId="0" borderId="0" xfId="15" applyFont="1" applyFill="1" applyAlignment="1">
      <alignment horizontal="center"/>
    </xf>
    <xf numFmtId="0" fontId="35" fillId="7" borderId="0" xfId="15" applyFont="1" applyFill="1" applyAlignment="1">
      <alignment horizontal="center"/>
    </xf>
    <xf numFmtId="0" fontId="15" fillId="0" borderId="0" xfId="15" applyFill="1" applyAlignment="1">
      <alignment horizontal="center"/>
    </xf>
    <xf numFmtId="0" fontId="24" fillId="2" borderId="1" xfId="0" applyNumberFormat="1" applyFont="1" applyFill="1" applyBorder="1" applyAlignment="1">
      <alignment horizontal="center" vertical="center" wrapText="1"/>
    </xf>
    <xf numFmtId="0" fontId="1" fillId="3" borderId="0" xfId="15" applyFont="1" applyFill="1"/>
    <xf numFmtId="0" fontId="15" fillId="3" borderId="0" xfId="15" applyFill="1"/>
    <xf numFmtId="0" fontId="1" fillId="3" borderId="0" xfId="15" applyFont="1" applyFill="1" applyAlignment="1">
      <alignment horizontal="center"/>
    </xf>
    <xf numFmtId="4" fontId="24" fillId="0" borderId="0" xfId="3" applyNumberFormat="1" applyFont="1" applyFill="1" applyBorder="1" applyAlignment="1">
      <alignment horizontal="center" vertical="center" wrapText="1"/>
    </xf>
    <xf numFmtId="0" fontId="1" fillId="0" borderId="0" xfId="15" applyFont="1" applyFill="1"/>
    <xf numFmtId="0" fontId="22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 vertical="center"/>
    </xf>
    <xf numFmtId="0" fontId="24" fillId="0" borderId="9" xfId="0" applyFont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/>
    </xf>
    <xf numFmtId="0" fontId="25" fillId="3" borderId="13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25" fillId="3" borderId="14" xfId="0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0" fontId="25" fillId="0" borderId="39" xfId="0" applyFont="1" applyBorder="1" applyAlignment="1">
      <alignment horizontal="center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/>
    </xf>
    <xf numFmtId="0" fontId="25" fillId="0" borderId="16" xfId="0" applyNumberFormat="1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25" fillId="0" borderId="25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34" fillId="0" borderId="7" xfId="3" applyFont="1" applyBorder="1" applyAlignment="1">
      <alignment horizontal="center" vertical="center" wrapText="1"/>
    </xf>
    <xf numFmtId="0" fontId="34" fillId="0" borderId="4" xfId="3" applyFont="1" applyBorder="1" applyAlignment="1">
      <alignment horizontal="center" vertical="center" wrapText="1"/>
    </xf>
    <xf numFmtId="0" fontId="34" fillId="0" borderId="8" xfId="3" applyFont="1" applyBorder="1" applyAlignment="1">
      <alignment horizontal="center" vertical="center" wrapText="1"/>
    </xf>
    <xf numFmtId="0" fontId="34" fillId="0" borderId="5" xfId="3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34" fillId="0" borderId="19" xfId="3" applyFont="1" applyBorder="1" applyAlignment="1">
      <alignment horizontal="center" vertical="center" wrapText="1"/>
    </xf>
    <xf numFmtId="0" fontId="34" fillId="0" borderId="30" xfId="3" applyFont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34" fillId="0" borderId="1" xfId="3" applyFont="1" applyBorder="1" applyAlignment="1">
      <alignment horizontal="center" vertical="center" wrapText="1"/>
    </xf>
    <xf numFmtId="0" fontId="34" fillId="0" borderId="3" xfId="3" applyFont="1" applyBorder="1" applyAlignment="1">
      <alignment horizontal="center" vertical="center" wrapText="1"/>
    </xf>
    <xf numFmtId="0" fontId="34" fillId="0" borderId="6" xfId="3" applyFont="1" applyBorder="1" applyAlignment="1">
      <alignment horizontal="center" vertical="center" wrapText="1"/>
    </xf>
    <xf numFmtId="0" fontId="38" fillId="0" borderId="7" xfId="3" applyFont="1" applyFill="1" applyBorder="1" applyAlignment="1">
      <alignment horizontal="center" vertical="center" wrapText="1"/>
    </xf>
    <xf numFmtId="0" fontId="38" fillId="0" borderId="4" xfId="3" applyFont="1" applyFill="1" applyBorder="1" applyAlignment="1">
      <alignment horizontal="center" vertical="center" wrapText="1"/>
    </xf>
    <xf numFmtId="0" fontId="24" fillId="0" borderId="40" xfId="3" applyFont="1" applyFill="1" applyBorder="1" applyAlignment="1">
      <alignment horizontal="center" vertical="center" wrapText="1"/>
    </xf>
    <xf numFmtId="0" fontId="24" fillId="0" borderId="41" xfId="3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5" fillId="0" borderId="25" xfId="15" applyFont="1" applyFill="1" applyBorder="1" applyAlignment="1">
      <alignment horizontal="center" vertical="center" wrapText="1"/>
    </xf>
    <xf numFmtId="0" fontId="25" fillId="0" borderId="31" xfId="15" applyFont="1" applyFill="1" applyBorder="1" applyAlignment="1">
      <alignment horizontal="center" vertical="center" wrapText="1"/>
    </xf>
    <xf numFmtId="0" fontId="34" fillId="0" borderId="22" xfId="3" applyFont="1" applyBorder="1" applyAlignment="1">
      <alignment horizontal="center" vertical="center" wrapText="1"/>
    </xf>
    <xf numFmtId="0" fontId="27" fillId="0" borderId="33" xfId="3" applyBorder="1" applyAlignment="1">
      <alignment horizontal="center" vertical="center" wrapText="1"/>
    </xf>
    <xf numFmtId="0" fontId="27" fillId="0" borderId="19" xfId="3" applyBorder="1" applyAlignment="1">
      <alignment horizontal="center" vertical="center" wrapText="1"/>
    </xf>
    <xf numFmtId="0" fontId="24" fillId="0" borderId="20" xfId="3" applyFont="1" applyFill="1" applyBorder="1">
      <alignment horizontal="center" vertical="center" wrapText="1"/>
    </xf>
    <xf numFmtId="0" fontId="24" fillId="0" borderId="21" xfId="3" applyFont="1" applyFill="1" applyBorder="1">
      <alignment horizontal="center" vertical="center" wrapText="1"/>
    </xf>
    <xf numFmtId="0" fontId="24" fillId="0" borderId="23" xfId="3" applyFont="1" applyFill="1" applyBorder="1">
      <alignment horizontal="center" vertical="center" wrapText="1"/>
    </xf>
    <xf numFmtId="0" fontId="24" fillId="0" borderId="42" xfId="3" applyFont="1" applyFill="1" applyBorder="1">
      <alignment horizontal="center" vertical="center" wrapText="1"/>
    </xf>
    <xf numFmtId="0" fontId="24" fillId="0" borderId="43" xfId="3" applyFont="1" applyFill="1" applyBorder="1">
      <alignment horizontal="center" vertical="center" wrapText="1"/>
    </xf>
    <xf numFmtId="0" fontId="24" fillId="0" borderId="44" xfId="3" applyFont="1" applyFill="1" applyBorder="1">
      <alignment horizontal="center" vertical="center" wrapText="1"/>
    </xf>
    <xf numFmtId="0" fontId="24" fillId="0" borderId="1" xfId="3" applyFont="1" applyFill="1" applyBorder="1" applyAlignment="1">
      <alignment horizontal="center" vertical="center" wrapText="1"/>
    </xf>
    <xf numFmtId="0" fontId="24" fillId="0" borderId="47" xfId="3" applyFont="1" applyFill="1" applyBorder="1">
      <alignment horizontal="center" vertical="center" wrapText="1"/>
    </xf>
    <xf numFmtId="0" fontId="24" fillId="0" borderId="48" xfId="3" applyFont="1" applyFill="1" applyBorder="1">
      <alignment horizontal="center" vertical="center" wrapText="1"/>
    </xf>
    <xf numFmtId="0" fontId="24" fillId="0" borderId="49" xfId="3" applyFont="1" applyFill="1" applyBorder="1">
      <alignment horizontal="center" vertical="center" wrapText="1"/>
    </xf>
    <xf numFmtId="0" fontId="24" fillId="0" borderId="24" xfId="3" applyFont="1" applyFill="1" applyBorder="1">
      <alignment horizontal="center" vertical="center" wrapText="1"/>
    </xf>
    <xf numFmtId="0" fontId="24" fillId="0" borderId="27" xfId="3" applyFont="1" applyFill="1" applyBorder="1">
      <alignment horizontal="center" vertical="center" wrapText="1"/>
    </xf>
    <xf numFmtId="0" fontId="24" fillId="0" borderId="28" xfId="3" applyFont="1" applyFill="1" applyBorder="1">
      <alignment horizontal="center" vertical="center" wrapText="1"/>
    </xf>
    <xf numFmtId="4" fontId="0" fillId="0" borderId="2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 wrapText="1"/>
    </xf>
    <xf numFmtId="0" fontId="27" fillId="0" borderId="51" xfId="3" applyBorder="1" applyAlignment="1">
      <alignment horizontal="center" vertical="center" wrapText="1"/>
    </xf>
    <xf numFmtId="0" fontId="27" fillId="0" borderId="52" xfId="3" applyBorder="1" applyAlignment="1">
      <alignment horizontal="center" vertical="center" wrapText="1"/>
    </xf>
    <xf numFmtId="0" fontId="27" fillId="0" borderId="17" xfId="3" applyBorder="1" applyAlignment="1">
      <alignment horizontal="center" vertical="center" wrapText="1"/>
    </xf>
    <xf numFmtId="0" fontId="27" fillId="0" borderId="27" xfId="3" applyBorder="1" applyAlignment="1">
      <alignment horizontal="center" vertical="center" wrapText="1"/>
    </xf>
    <xf numFmtId="0" fontId="24" fillId="0" borderId="53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5" fillId="0" borderId="32" xfId="15" applyFont="1" applyFill="1" applyBorder="1" applyAlignment="1">
      <alignment horizontal="center" vertical="center" wrapText="1"/>
    </xf>
    <xf numFmtId="0" fontId="34" fillId="0" borderId="54" xfId="3" applyFont="1" applyBorder="1" applyAlignment="1">
      <alignment horizontal="center" vertical="center" wrapText="1"/>
    </xf>
    <xf numFmtId="0" fontId="34" fillId="0" borderId="55" xfId="3" applyFont="1" applyBorder="1" applyAlignment="1">
      <alignment horizontal="center" vertical="center" wrapText="1"/>
    </xf>
    <xf numFmtId="4" fontId="0" fillId="0" borderId="57" xfId="0" applyNumberFormat="1" applyBorder="1" applyAlignment="1">
      <alignment horizontal="center" vertical="center"/>
    </xf>
    <xf numFmtId="4" fontId="0" fillId="0" borderId="55" xfId="0" applyNumberFormat="1" applyBorder="1" applyAlignment="1">
      <alignment horizontal="center" vertical="center"/>
    </xf>
    <xf numFmtId="0" fontId="24" fillId="0" borderId="0" xfId="0" applyFont="1" applyAlignment="1">
      <alignment horizontal="center"/>
    </xf>
    <xf numFmtId="4" fontId="0" fillId="0" borderId="24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0" fontId="24" fillId="0" borderId="20" xfId="3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24" fillId="0" borderId="45" xfId="3" applyFont="1" applyFill="1" applyBorder="1" applyAlignment="1">
      <alignment horizontal="center" vertical="center" wrapText="1"/>
    </xf>
    <xf numFmtId="0" fontId="24" fillId="0" borderId="32" xfId="3" applyFont="1" applyFill="1" applyBorder="1" applyAlignment="1">
      <alignment horizontal="center" vertical="center" wrapText="1"/>
    </xf>
    <xf numFmtId="0" fontId="24" fillId="0" borderId="25" xfId="3" applyFont="1" applyFill="1" applyBorder="1" applyAlignment="1">
      <alignment horizontal="center" vertical="center" wrapText="1"/>
    </xf>
    <xf numFmtId="0" fontId="36" fillId="0" borderId="0" xfId="15" applyFont="1" applyAlignment="1">
      <alignment horizontal="center"/>
    </xf>
    <xf numFmtId="0" fontId="24" fillId="0" borderId="21" xfId="3" applyFont="1" applyFill="1" applyBorder="1" applyAlignment="1">
      <alignment horizontal="center" vertical="center" wrapText="1"/>
    </xf>
    <xf numFmtId="0" fontId="24" fillId="0" borderId="23" xfId="3" applyFont="1" applyFill="1" applyBorder="1" applyAlignment="1">
      <alignment horizontal="center" vertical="center" wrapText="1"/>
    </xf>
  </cellXfs>
  <cellStyles count="21">
    <cellStyle name="Excel_BuiltIn_Hyperlink" xfId="4"/>
    <cellStyle name="Heading" xfId="5"/>
    <cellStyle name="Heading1" xfId="6"/>
    <cellStyle name="Normal" xfId="18"/>
    <cellStyle name="Result" xfId="7"/>
    <cellStyle name="Result2" xfId="8"/>
    <cellStyle name="Заголовок сводной таблицы" xfId="9"/>
    <cellStyle name="Значение сводной таблицы" xfId="10"/>
    <cellStyle name="Категория сводной таблицы" xfId="11"/>
    <cellStyle name="мой" xfId="3"/>
    <cellStyle name="Обычный" xfId="0" builtinId="0"/>
    <cellStyle name="Обычный 2" xfId="1"/>
    <cellStyle name="Обычный 3" xfId="2"/>
    <cellStyle name="Обычный 4" xfId="15"/>
    <cellStyle name="Обычный 4 2" xfId="16"/>
    <cellStyle name="Обычный 5" xfId="17"/>
    <cellStyle name="Обычный 6" xfId="19"/>
    <cellStyle name="Обычный 7" xfId="20"/>
    <cellStyle name="Поле сводной таблицы" xfId="12"/>
    <cellStyle name="Результат сводной таблицы" xfId="13"/>
    <cellStyle name="Угол сводной таблицы" xfId="14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36"/>
  <sheetViews>
    <sheetView topLeftCell="A3" zoomScaleNormal="100" workbookViewId="0">
      <pane ySplit="3" topLeftCell="A12" activePane="bottomLeft" state="frozen"/>
      <selection activeCell="A3" sqref="A3"/>
      <selection pane="bottomLeft" activeCell="G16" sqref="G16"/>
    </sheetView>
  </sheetViews>
  <sheetFormatPr defaultRowHeight="12.75"/>
  <cols>
    <col min="1" max="1" width="7.140625" style="1" customWidth="1"/>
    <col min="2" max="2" width="28.85546875" style="1" customWidth="1"/>
    <col min="3" max="3" width="12.7109375" style="1" customWidth="1"/>
    <col min="4" max="4" width="15.85546875" style="87" customWidth="1"/>
    <col min="5" max="7" width="15.85546875" style="1" customWidth="1"/>
    <col min="8" max="8" width="18.42578125" style="87" customWidth="1"/>
    <col min="9" max="9" width="23.7109375" customWidth="1"/>
    <col min="10" max="10" width="20.7109375" customWidth="1"/>
    <col min="11" max="11" width="19" customWidth="1"/>
    <col min="12" max="12" width="26" customWidth="1"/>
    <col min="13" max="13" width="9.140625" customWidth="1"/>
    <col min="14" max="14" width="17.140625" style="1" customWidth="1"/>
    <col min="15" max="15" width="19.5703125" style="1" customWidth="1"/>
    <col min="16" max="16" width="13.42578125" style="1" customWidth="1"/>
    <col min="17" max="17" width="14.140625" style="1" customWidth="1"/>
    <col min="18" max="26" width="9.140625" style="1" customWidth="1"/>
    <col min="27" max="16384" width="9.140625" style="1"/>
  </cols>
  <sheetData>
    <row r="1" spans="1:24" ht="39.75" hidden="1" customHeight="1">
      <c r="A1" s="268" t="s">
        <v>25</v>
      </c>
      <c r="B1" s="268"/>
      <c r="C1" s="268"/>
      <c r="D1" s="268"/>
      <c r="E1" s="268"/>
      <c r="F1" s="268"/>
      <c r="G1" s="268"/>
      <c r="H1" s="268"/>
    </row>
    <row r="2" spans="1:24" ht="18" hidden="1" customHeight="1" thickBot="1">
      <c r="A2" s="9"/>
      <c r="B2" s="9"/>
      <c r="C2" s="9"/>
      <c r="D2" s="86"/>
      <c r="E2" s="9"/>
      <c r="F2" s="9"/>
      <c r="G2" s="9"/>
      <c r="H2" s="86"/>
    </row>
    <row r="3" spans="1:24" ht="32.25" customHeight="1" thickBot="1">
      <c r="A3" s="278" t="s">
        <v>164</v>
      </c>
      <c r="B3" s="279"/>
      <c r="C3" s="279"/>
      <c r="D3" s="279"/>
      <c r="E3" s="279"/>
      <c r="F3" s="279"/>
      <c r="G3" s="279"/>
      <c r="H3" s="279"/>
    </row>
    <row r="4" spans="1:24" s="2" customFormat="1" ht="15.75" customHeight="1">
      <c r="A4" s="273" t="s">
        <v>1</v>
      </c>
      <c r="B4" s="271" t="s">
        <v>7</v>
      </c>
      <c r="C4" s="269" t="s">
        <v>8</v>
      </c>
      <c r="D4" s="271" t="s">
        <v>14</v>
      </c>
      <c r="E4" s="271"/>
      <c r="F4" s="271"/>
      <c r="G4" s="271"/>
      <c r="H4" s="277"/>
      <c r="I4"/>
      <c r="J4"/>
      <c r="K4"/>
      <c r="L4"/>
      <c r="M4"/>
    </row>
    <row r="5" spans="1:24" s="2" customFormat="1" ht="46.5" customHeight="1" thickBot="1">
      <c r="A5" s="274"/>
      <c r="B5" s="272"/>
      <c r="C5" s="270"/>
      <c r="D5" s="79" t="s">
        <v>9</v>
      </c>
      <c r="E5" s="6" t="s">
        <v>10</v>
      </c>
      <c r="F5" s="6" t="s">
        <v>11</v>
      </c>
      <c r="G5" s="6" t="s">
        <v>12</v>
      </c>
      <c r="H5" s="80" t="s">
        <v>13</v>
      </c>
      <c r="I5"/>
      <c r="J5"/>
      <c r="K5"/>
      <c r="L5"/>
      <c r="M5"/>
    </row>
    <row r="6" spans="1:24" s="2" customFormat="1" ht="15.75">
      <c r="A6" s="8">
        <v>1</v>
      </c>
      <c r="B6" s="7" t="s">
        <v>15</v>
      </c>
      <c r="C6" s="7" t="s">
        <v>16</v>
      </c>
      <c r="D6" s="173">
        <v>0</v>
      </c>
      <c r="E6" s="254">
        <v>0</v>
      </c>
      <c r="F6" s="254">
        <v>0</v>
      </c>
      <c r="G6" s="254">
        <v>1</v>
      </c>
      <c r="H6" s="254">
        <v>0</v>
      </c>
      <c r="I6"/>
      <c r="J6"/>
      <c r="K6"/>
      <c r="L6"/>
      <c r="M6"/>
    </row>
    <row r="7" spans="1:24" s="2" customFormat="1" ht="30">
      <c r="A7" s="4">
        <f t="shared" ref="A7:A12" si="0">A6+1</f>
        <v>2</v>
      </c>
      <c r="B7" s="3" t="s">
        <v>17</v>
      </c>
      <c r="C7" s="3" t="s">
        <v>18</v>
      </c>
      <c r="D7" s="41">
        <v>0</v>
      </c>
      <c r="E7" s="41">
        <v>0</v>
      </c>
      <c r="F7" s="41">
        <v>0</v>
      </c>
      <c r="G7" s="41">
        <v>1884</v>
      </c>
      <c r="H7" s="88">
        <v>0</v>
      </c>
      <c r="I7"/>
      <c r="J7"/>
      <c r="K7"/>
      <c r="L7"/>
      <c r="M7"/>
    </row>
    <row r="8" spans="1:24" s="2" customFormat="1" ht="15.75">
      <c r="A8" s="4">
        <f t="shared" si="0"/>
        <v>3</v>
      </c>
      <c r="B8" s="3" t="s">
        <v>19</v>
      </c>
      <c r="C8" s="3" t="s">
        <v>16</v>
      </c>
      <c r="D8" s="41">
        <v>0</v>
      </c>
      <c r="E8" s="41">
        <v>0</v>
      </c>
      <c r="F8" s="41">
        <v>0</v>
      </c>
      <c r="G8" s="41">
        <v>0</v>
      </c>
      <c r="H8" s="88">
        <v>2</v>
      </c>
      <c r="I8"/>
      <c r="J8"/>
      <c r="K8"/>
      <c r="L8"/>
      <c r="M8"/>
    </row>
    <row r="9" spans="1:24" s="2" customFormat="1" ht="15.75">
      <c r="A9" s="4">
        <f t="shared" si="0"/>
        <v>4</v>
      </c>
      <c r="B9" s="3" t="s">
        <v>20</v>
      </c>
      <c r="C9" s="3" t="s">
        <v>16</v>
      </c>
      <c r="D9" s="41">
        <v>1</v>
      </c>
      <c r="E9" s="41">
        <v>0</v>
      </c>
      <c r="F9" s="41">
        <v>0</v>
      </c>
      <c r="G9" s="41">
        <v>1</v>
      </c>
      <c r="H9" s="88">
        <v>1</v>
      </c>
      <c r="I9"/>
      <c r="J9"/>
      <c r="K9"/>
      <c r="L9"/>
      <c r="M9"/>
    </row>
    <row r="10" spans="1:24" s="2" customFormat="1" ht="32.25" customHeight="1">
      <c r="A10" s="4">
        <f t="shared" si="0"/>
        <v>5</v>
      </c>
      <c r="B10" s="3" t="s">
        <v>21</v>
      </c>
      <c r="C10" s="3" t="s">
        <v>18</v>
      </c>
      <c r="D10" s="41">
        <v>600</v>
      </c>
      <c r="E10" s="41">
        <v>0</v>
      </c>
      <c r="F10" s="41">
        <v>0</v>
      </c>
      <c r="G10" s="41">
        <v>6990</v>
      </c>
      <c r="H10" s="88">
        <v>850</v>
      </c>
      <c r="I10"/>
      <c r="J10"/>
      <c r="K10"/>
      <c r="L10"/>
      <c r="M10"/>
    </row>
    <row r="11" spans="1:24" s="2" customFormat="1" ht="16.5" customHeight="1">
      <c r="A11" s="4">
        <f t="shared" si="0"/>
        <v>6</v>
      </c>
      <c r="B11" s="3" t="s">
        <v>22</v>
      </c>
      <c r="C11" s="3" t="s">
        <v>16</v>
      </c>
      <c r="D11" s="41">
        <v>0</v>
      </c>
      <c r="E11" s="41">
        <v>0</v>
      </c>
      <c r="F11" s="41">
        <v>0</v>
      </c>
      <c r="G11" s="3">
        <v>0</v>
      </c>
      <c r="H11" s="88"/>
      <c r="I11"/>
      <c r="J11"/>
      <c r="K11"/>
      <c r="L11"/>
      <c r="M11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</row>
    <row r="12" spans="1:24" s="2" customFormat="1" ht="30" customHeight="1" thickBot="1">
      <c r="A12" s="5">
        <f t="shared" si="0"/>
        <v>7</v>
      </c>
      <c r="B12" s="36" t="s">
        <v>52</v>
      </c>
      <c r="C12" s="36" t="s">
        <v>18</v>
      </c>
      <c r="D12" s="172">
        <v>0</v>
      </c>
      <c r="E12" s="172">
        <v>0</v>
      </c>
      <c r="F12" s="172">
        <v>0</v>
      </c>
      <c r="G12" s="172">
        <v>0</v>
      </c>
      <c r="H12" s="174">
        <v>0</v>
      </c>
      <c r="I12"/>
      <c r="J12"/>
      <c r="K12"/>
      <c r="L12"/>
      <c r="M1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</row>
    <row r="13" spans="1:24" s="2" customFormat="1" ht="30" customHeight="1" thickBot="1">
      <c r="A13" s="280" t="s">
        <v>50</v>
      </c>
      <c r="B13" s="281"/>
      <c r="C13" s="281"/>
      <c r="D13" s="281"/>
      <c r="E13" s="281"/>
      <c r="F13" s="281"/>
      <c r="G13" s="281"/>
      <c r="H13" s="282"/>
      <c r="I13"/>
      <c r="J13"/>
      <c r="K13"/>
      <c r="L13"/>
      <c r="M13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</row>
    <row r="14" spans="1:24" s="2" customFormat="1" ht="39" customHeight="1">
      <c r="A14" s="8">
        <v>1</v>
      </c>
      <c r="B14" s="7" t="s">
        <v>23</v>
      </c>
      <c r="C14" s="7" t="s">
        <v>18</v>
      </c>
      <c r="D14" s="77">
        <v>366</v>
      </c>
      <c r="E14" s="11">
        <v>-1909</v>
      </c>
      <c r="F14" s="11">
        <v>-6947</v>
      </c>
      <c r="G14" s="11">
        <v>12001</v>
      </c>
      <c r="H14" s="78">
        <v>19500</v>
      </c>
      <c r="I14"/>
      <c r="J14"/>
      <c r="K14"/>
      <c r="L14"/>
      <c r="M14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</row>
    <row r="15" spans="1:24" s="2" customFormat="1" ht="66" customHeight="1">
      <c r="A15" s="136">
        <f>A14+1</f>
        <v>2</v>
      </c>
      <c r="B15" s="137" t="s">
        <v>4</v>
      </c>
      <c r="C15" s="137" t="s">
        <v>18</v>
      </c>
      <c r="D15" s="137">
        <f>489.5+452+145+300+50+100+63.2+52+180+41+52+50+35+380+50+260+320+100+100+110+100+50+50+50+100+120+75+240+15+14+50+50+35+25+100-50+300-100+150+151+300+30+80+136+150+30+335+330+150+3695+150+600-265</f>
        <v>10575.7</v>
      </c>
      <c r="E15" s="137">
        <f>1076.5+240+300+35+9+238+400+100+300+100+80+200+310+544-250+3310+300-3310+500+120+120+148+149+100+208</f>
        <v>5327.5</v>
      </c>
      <c r="F15" s="137">
        <f>4200+479+440+230+2020+54+12+88.5+2025+820+172.3+69.3+1651+75+100+70+50+30+30+20+216.5+67+700+740+40+20+10+200+50+500+48+382+80+150+50+135.8+425.9+100+1045.27+100.9+25+660+100+140+80+50+298+16+4911+150+100.9+100+120+1000+60+70+3200+159.3+70+63+150+150+134+22-159+3000+500+400-500+2718+825+684+150+600+150+351-351</f>
        <v>37894.67</v>
      </c>
      <c r="G15" s="137">
        <f>5000+400+280+2560+600+600+400+2500+150+200+50+175+20+550+500+30000-550+4470.8-30000+1000+260+500+652+1130+2400+4990-150+745.7+6990-4990+360</f>
        <v>31793.5</v>
      </c>
      <c r="H15" s="138">
        <f>214+237+80+284+25+140+56+500+3200+750+170+30+400+600+80+30+45+140+30+20+40+160+200+100+50+129+20+20+200+333.5+30+130.7+50+35+150+300+145+240+120+550+237+340+150+970+800+350+470+400+2000-2000+300+1000+150-400-550+1000+120+500+250+35+150+140+160+600+100+100+150+400+100+750+255+1130+40+250+1400+200+150+850-470</f>
        <v>22611.200000000001</v>
      </c>
      <c r="I15"/>
      <c r="J15"/>
      <c r="K15"/>
      <c r="L15"/>
      <c r="M15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</row>
    <row r="16" spans="1:24" s="2" customFormat="1" ht="77.25" customHeight="1" thickBot="1">
      <c r="A16" s="5">
        <f>A15+1</f>
        <v>3</v>
      </c>
      <c r="B16" s="6" t="s">
        <v>24</v>
      </c>
      <c r="C16" s="13" t="s">
        <v>18</v>
      </c>
      <c r="D16" s="79">
        <f>D14-D15</f>
        <v>-10209.700000000001</v>
      </c>
      <c r="E16" s="12">
        <f>E14-E15</f>
        <v>-7236.5</v>
      </c>
      <c r="F16" s="12">
        <f>F14-F15</f>
        <v>-44841.67</v>
      </c>
      <c r="G16" s="12">
        <f>G14-G15</f>
        <v>-19792.5</v>
      </c>
      <c r="H16" s="80">
        <f>H14-H15</f>
        <v>-3111.2000000000007</v>
      </c>
      <c r="I16"/>
      <c r="J16"/>
      <c r="K16"/>
      <c r="L16"/>
      <c r="M16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</row>
    <row r="17" spans="1:28" ht="13.5" customHeight="1"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</row>
    <row r="18" spans="1:28" ht="15" customHeight="1"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17"/>
      <c r="Z18" s="17"/>
      <c r="AA18" s="17"/>
      <c r="AB18" s="17"/>
    </row>
    <row r="19" spans="1:28" ht="47.25" customHeight="1">
      <c r="A19" s="276" t="s">
        <v>123</v>
      </c>
      <c r="B19" s="276"/>
      <c r="C19" s="276"/>
      <c r="D19" s="276"/>
      <c r="E19" s="276"/>
      <c r="F19" s="276"/>
      <c r="G19" s="276"/>
      <c r="H19" s="276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</row>
    <row r="20" spans="1:28"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</row>
    <row r="21" spans="1:28" customFormat="1" ht="15.75">
      <c r="A21" s="275"/>
      <c r="B21" s="275"/>
      <c r="C21" s="275"/>
      <c r="D21" s="275"/>
      <c r="E21" s="275"/>
      <c r="F21" s="275"/>
      <c r="G21" s="275"/>
      <c r="H21" s="275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</row>
    <row r="22" spans="1:28"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</row>
    <row r="23" spans="1:28"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1:28"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1:28"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</row>
    <row r="26" spans="1:28"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</row>
    <row r="27" spans="1:28"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</row>
    <row r="28" spans="1:28"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spans="1:28"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5" spans="9:10">
      <c r="I35" s="213"/>
      <c r="J35" s="213"/>
    </row>
    <row r="36" spans="9:10">
      <c r="I36" s="213"/>
    </row>
  </sheetData>
  <mergeCells count="9">
    <mergeCell ref="A1:H1"/>
    <mergeCell ref="C4:C5"/>
    <mergeCell ref="B4:B5"/>
    <mergeCell ref="A4:A5"/>
    <mergeCell ref="A21:H21"/>
    <mergeCell ref="A19:H19"/>
    <mergeCell ref="D4:H4"/>
    <mergeCell ref="A3:H3"/>
    <mergeCell ref="A13:H13"/>
  </mergeCells>
  <pageMargins left="0.7" right="0.7" top="0.75" bottom="0.75" header="0.3" footer="0.3"/>
  <pageSetup paperSize="9" scale="8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workbookViewId="0">
      <selection activeCell="E6" sqref="E6"/>
    </sheetView>
  </sheetViews>
  <sheetFormatPr defaultRowHeight="12.75"/>
  <cols>
    <col min="1" max="1" width="6.85546875" bestFit="1" customWidth="1"/>
    <col min="2" max="2" width="23" customWidth="1"/>
    <col min="3" max="3" width="18.5703125" customWidth="1"/>
    <col min="4" max="4" width="19.7109375" customWidth="1"/>
    <col min="5" max="5" width="19.42578125" customWidth="1"/>
    <col min="6" max="6" width="20.42578125" customWidth="1"/>
    <col min="7" max="7" width="22.28515625" customWidth="1"/>
    <col min="11" max="11" width="9.42578125" customWidth="1"/>
    <col min="12" max="12" width="14.7109375" customWidth="1"/>
    <col min="46" max="46" width="12.140625" customWidth="1"/>
  </cols>
  <sheetData>
    <row r="1" spans="1:7" ht="43.5" customHeight="1" thickBot="1">
      <c r="A1" s="283" t="s">
        <v>169</v>
      </c>
      <c r="B1" s="283"/>
      <c r="C1" s="283"/>
      <c r="D1" s="283"/>
      <c r="E1" s="283"/>
      <c r="F1" s="283"/>
      <c r="G1" s="283"/>
    </row>
    <row r="2" spans="1:7" ht="30" customHeight="1">
      <c r="A2" s="284" t="s">
        <v>1</v>
      </c>
      <c r="B2" s="286" t="s">
        <v>0</v>
      </c>
      <c r="C2" s="286" t="s">
        <v>136</v>
      </c>
      <c r="D2" s="288" t="s">
        <v>28</v>
      </c>
      <c r="E2" s="289"/>
      <c r="F2" s="289"/>
      <c r="G2" s="290"/>
    </row>
    <row r="3" spans="1:7" ht="53.25" customHeight="1" thickBot="1">
      <c r="A3" s="285"/>
      <c r="B3" s="287"/>
      <c r="C3" s="287"/>
      <c r="D3" s="52" t="s">
        <v>2</v>
      </c>
      <c r="E3" s="53" t="s">
        <v>6</v>
      </c>
      <c r="F3" s="53" t="s">
        <v>5</v>
      </c>
      <c r="G3" s="54" t="s">
        <v>3</v>
      </c>
    </row>
    <row r="4" spans="1:7" ht="30" customHeight="1">
      <c r="A4" s="47">
        <v>1</v>
      </c>
      <c r="B4" s="158" t="s">
        <v>26</v>
      </c>
      <c r="C4" s="159">
        <v>1</v>
      </c>
      <c r="D4" s="141" t="s">
        <v>168</v>
      </c>
      <c r="E4" s="141">
        <v>600</v>
      </c>
      <c r="F4" s="141" t="s">
        <v>166</v>
      </c>
      <c r="G4" s="140">
        <v>390147.25</v>
      </c>
    </row>
    <row r="5" spans="1:7" ht="30" customHeight="1">
      <c r="A5" s="60">
        <v>2</v>
      </c>
      <c r="B5" s="141" t="s">
        <v>156</v>
      </c>
      <c r="C5" s="59">
        <v>0</v>
      </c>
      <c r="D5" s="19" t="s">
        <v>40</v>
      </c>
      <c r="E5" s="19" t="s">
        <v>40</v>
      </c>
      <c r="F5" s="19" t="s">
        <v>40</v>
      </c>
      <c r="G5" s="20" t="s">
        <v>40</v>
      </c>
    </row>
    <row r="6" spans="1:7" ht="30" customHeight="1">
      <c r="A6" s="10">
        <v>3</v>
      </c>
      <c r="B6" s="141" t="s">
        <v>155</v>
      </c>
      <c r="C6" s="59">
        <v>0</v>
      </c>
      <c r="D6" s="19" t="s">
        <v>40</v>
      </c>
      <c r="E6" s="19" t="s">
        <v>40</v>
      </c>
      <c r="F6" s="19" t="s">
        <v>40</v>
      </c>
      <c r="G6" s="20" t="s">
        <v>40</v>
      </c>
    </row>
    <row r="7" spans="1:7" ht="30" customHeight="1">
      <c r="A7" s="10">
        <v>4</v>
      </c>
      <c r="B7" s="19" t="s">
        <v>27</v>
      </c>
      <c r="C7" s="19">
        <v>1</v>
      </c>
      <c r="D7" s="182" t="s">
        <v>165</v>
      </c>
      <c r="E7" s="19">
        <v>6990</v>
      </c>
      <c r="F7" s="262">
        <v>12</v>
      </c>
      <c r="G7" s="20">
        <v>17356.54</v>
      </c>
    </row>
    <row r="8" spans="1:7" ht="30" customHeight="1" thickBot="1">
      <c r="A8" s="144">
        <v>5</v>
      </c>
      <c r="B8" s="163" t="s">
        <v>96</v>
      </c>
      <c r="C8" s="163">
        <v>1</v>
      </c>
      <c r="D8" s="89" t="s">
        <v>167</v>
      </c>
      <c r="E8" s="89">
        <v>850</v>
      </c>
      <c r="F8" s="89" t="s">
        <v>166</v>
      </c>
      <c r="G8" s="90">
        <v>390147.25</v>
      </c>
    </row>
    <row r="9" spans="1:7" ht="17.25" customHeight="1"/>
    <row r="10" spans="1:7" ht="25.5" customHeight="1"/>
    <row r="11" spans="1:7" ht="15.75" hidden="1">
      <c r="A11" s="275" t="s">
        <v>124</v>
      </c>
      <c r="B11" s="275"/>
      <c r="C11" s="275"/>
      <c r="D11" s="275"/>
      <c r="E11" s="275"/>
      <c r="F11" s="275"/>
      <c r="G11" s="275"/>
    </row>
  </sheetData>
  <mergeCells count="6">
    <mergeCell ref="A11:G11"/>
    <mergeCell ref="A1:G1"/>
    <mergeCell ref="A2:A3"/>
    <mergeCell ref="B2:B3"/>
    <mergeCell ref="C2:C3"/>
    <mergeCell ref="D2:G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Z12"/>
  <sheetViews>
    <sheetView tabSelected="1" zoomScale="115" zoomScaleNormal="115" zoomScaleSheetLayoutView="106" workbookViewId="0">
      <selection activeCell="L3" sqref="L3"/>
    </sheetView>
  </sheetViews>
  <sheetFormatPr defaultRowHeight="12.75"/>
  <cols>
    <col min="1" max="1" width="6.7109375" customWidth="1"/>
    <col min="2" max="2" width="23" customWidth="1"/>
    <col min="3" max="3" width="13.7109375" style="16" customWidth="1"/>
    <col min="4" max="5" width="9.140625" customWidth="1"/>
    <col min="6" max="6" width="23.85546875" customWidth="1"/>
    <col min="7" max="7" width="22.7109375" hidden="1" customWidth="1"/>
    <col min="8" max="8" width="0.140625" hidden="1" customWidth="1"/>
    <col min="9" max="9" width="9.140625" customWidth="1"/>
    <col min="10" max="10" width="9.140625" hidden="1" customWidth="1"/>
    <col min="11" max="28" width="9.140625" customWidth="1"/>
  </cols>
  <sheetData>
    <row r="1" spans="1:16354" ht="60" customHeight="1" thickBot="1">
      <c r="A1" s="292" t="s">
        <v>176</v>
      </c>
      <c r="B1" s="293"/>
      <c r="C1" s="293"/>
      <c r="D1" s="293"/>
      <c r="E1" s="293"/>
      <c r="F1" s="294"/>
      <c r="J1" t="s">
        <v>69</v>
      </c>
    </row>
    <row r="2" spans="1:16354" ht="23.25" customHeight="1" thickBot="1">
      <c r="A2" s="295" t="s">
        <v>1</v>
      </c>
      <c r="B2" s="297" t="s">
        <v>14</v>
      </c>
      <c r="C2" s="302" t="s">
        <v>7</v>
      </c>
      <c r="D2" s="302"/>
      <c r="E2" s="302"/>
      <c r="F2" s="303"/>
    </row>
    <row r="3" spans="1:16354" ht="60" customHeight="1" thickBot="1">
      <c r="A3" s="296"/>
      <c r="B3" s="298"/>
      <c r="C3" s="31" t="s">
        <v>29</v>
      </c>
      <c r="D3" s="272" t="s">
        <v>24</v>
      </c>
      <c r="E3" s="272"/>
      <c r="F3" s="299"/>
      <c r="G3" s="15" t="s">
        <v>23</v>
      </c>
      <c r="H3" s="15" t="s">
        <v>4</v>
      </c>
    </row>
    <row r="4" spans="1:16354" ht="27" customHeight="1" thickBot="1">
      <c r="A4" s="32">
        <v>1</v>
      </c>
      <c r="B4" s="33">
        <v>2</v>
      </c>
      <c r="C4" s="33">
        <v>3</v>
      </c>
      <c r="D4" s="304">
        <v>4</v>
      </c>
      <c r="E4" s="304"/>
      <c r="F4" s="305"/>
      <c r="G4" s="18"/>
      <c r="H4" s="18"/>
    </row>
    <row r="5" spans="1:16354" ht="27" customHeight="1">
      <c r="A5" s="23">
        <v>1</v>
      </c>
      <c r="B5" s="24" t="s">
        <v>33</v>
      </c>
      <c r="C5" s="49" t="s">
        <v>30</v>
      </c>
      <c r="D5" s="300">
        <v>2100</v>
      </c>
      <c r="E5" s="300"/>
      <c r="F5" s="301"/>
      <c r="G5" s="14"/>
      <c r="H5" s="14"/>
    </row>
    <row r="6" spans="1:16354" ht="27" customHeight="1">
      <c r="A6" s="25">
        <v>2</v>
      </c>
      <c r="B6" s="26" t="s">
        <v>34</v>
      </c>
      <c r="C6" s="50" t="s">
        <v>30</v>
      </c>
      <c r="D6" s="306">
        <v>2500</v>
      </c>
      <c r="E6" s="306"/>
      <c r="F6" s="307"/>
      <c r="G6" s="14"/>
      <c r="H6" s="14"/>
    </row>
    <row r="7" spans="1:16354" ht="27" customHeight="1">
      <c r="A7" s="25">
        <v>3</v>
      </c>
      <c r="B7" s="26" t="s">
        <v>35</v>
      </c>
      <c r="C7" s="50" t="s">
        <v>31</v>
      </c>
      <c r="D7" s="306">
        <v>21900</v>
      </c>
      <c r="E7" s="306"/>
      <c r="F7" s="307"/>
      <c r="G7" s="14"/>
      <c r="H7" s="14"/>
    </row>
    <row r="8" spans="1:16354" ht="27" customHeight="1">
      <c r="A8" s="25">
        <v>4</v>
      </c>
      <c r="B8" s="26" t="s">
        <v>36</v>
      </c>
      <c r="C8" s="50" t="s">
        <v>31</v>
      </c>
      <c r="D8" s="306" t="s">
        <v>49</v>
      </c>
      <c r="E8" s="306"/>
      <c r="F8" s="307"/>
      <c r="G8" s="14"/>
      <c r="H8" s="14"/>
      <c r="J8">
        <v>528.5</v>
      </c>
    </row>
    <row r="9" spans="1:16354" ht="26.25" customHeight="1" thickBot="1">
      <c r="A9" s="27">
        <v>5</v>
      </c>
      <c r="B9" s="28" t="s">
        <v>37</v>
      </c>
      <c r="C9" s="48" t="s">
        <v>32</v>
      </c>
      <c r="D9" s="298">
        <v>6700</v>
      </c>
      <c r="E9" s="298"/>
      <c r="F9" s="308"/>
      <c r="G9" s="14"/>
      <c r="H9" s="14"/>
    </row>
    <row r="10" spans="1:16354" ht="27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  <c r="IW10" s="34"/>
      <c r="IX10" s="34"/>
      <c r="IY10" s="34"/>
      <c r="IZ10" s="34"/>
      <c r="JA10" s="34"/>
      <c r="JB10" s="34"/>
      <c r="JC10" s="34"/>
      <c r="JD10" s="34"/>
      <c r="JE10" s="34"/>
      <c r="JF10" s="34"/>
      <c r="JG10" s="34"/>
      <c r="JH10" s="34"/>
      <c r="JI10" s="34"/>
      <c r="JJ10" s="34"/>
      <c r="JK10" s="34"/>
      <c r="JL10" s="34"/>
      <c r="JM10" s="34"/>
      <c r="JN10" s="34"/>
      <c r="JO10" s="34"/>
      <c r="JP10" s="34"/>
      <c r="JQ10" s="34"/>
      <c r="JR10" s="34"/>
      <c r="JS10" s="34"/>
      <c r="JT10" s="34"/>
      <c r="JU10" s="34"/>
      <c r="JV10" s="34"/>
      <c r="JW10" s="34"/>
      <c r="JX10" s="34"/>
      <c r="JY10" s="34"/>
      <c r="JZ10" s="34"/>
      <c r="KA10" s="34"/>
      <c r="KB10" s="34"/>
      <c r="KC10" s="34"/>
      <c r="KD10" s="34"/>
      <c r="KE10" s="34"/>
      <c r="KF10" s="34"/>
      <c r="KG10" s="34"/>
      <c r="KH10" s="34"/>
      <c r="KI10" s="34"/>
      <c r="KJ10" s="34"/>
      <c r="KK10" s="34"/>
      <c r="KL10" s="34"/>
      <c r="KM10" s="34"/>
      <c r="KN10" s="34"/>
      <c r="KO10" s="34"/>
      <c r="KP10" s="34"/>
      <c r="KQ10" s="34"/>
      <c r="KR10" s="34"/>
      <c r="KS10" s="34"/>
      <c r="KT10" s="34"/>
      <c r="KU10" s="34"/>
      <c r="KV10" s="34"/>
      <c r="KW10" s="34"/>
      <c r="KX10" s="34"/>
      <c r="KY10" s="34"/>
      <c r="KZ10" s="34"/>
      <c r="LA10" s="34"/>
      <c r="LB10" s="34"/>
      <c r="LC10" s="34"/>
      <c r="LD10" s="34"/>
      <c r="LE10" s="34"/>
      <c r="LF10" s="34"/>
      <c r="LG10" s="34"/>
      <c r="LH10" s="34"/>
      <c r="LI10" s="34"/>
      <c r="LJ10" s="34"/>
      <c r="LK10" s="34"/>
      <c r="LL10" s="34"/>
      <c r="LM10" s="34"/>
      <c r="LN10" s="34"/>
      <c r="LO10" s="34"/>
      <c r="LP10" s="34"/>
      <c r="LQ10" s="34"/>
      <c r="LR10" s="34"/>
      <c r="LS10" s="34"/>
      <c r="LT10" s="34"/>
      <c r="LU10" s="34"/>
      <c r="LV10" s="34"/>
      <c r="LW10" s="34"/>
      <c r="LX10" s="34"/>
      <c r="LY10" s="34"/>
      <c r="LZ10" s="34"/>
      <c r="MA10" s="34"/>
      <c r="MB10" s="34"/>
      <c r="MC10" s="34"/>
      <c r="MD10" s="34"/>
      <c r="ME10" s="34"/>
      <c r="MF10" s="34"/>
      <c r="MG10" s="34"/>
      <c r="MH10" s="34"/>
      <c r="MI10" s="34"/>
      <c r="MJ10" s="34"/>
      <c r="MK10" s="34"/>
      <c r="ML10" s="34"/>
      <c r="MM10" s="34"/>
      <c r="MN10" s="34"/>
      <c r="MO10" s="34"/>
      <c r="MP10" s="34"/>
      <c r="MQ10" s="34"/>
      <c r="MR10" s="34"/>
      <c r="MS10" s="34"/>
      <c r="MT10" s="34"/>
      <c r="MU10" s="34"/>
      <c r="MV10" s="34"/>
      <c r="MW10" s="34"/>
      <c r="MX10" s="34"/>
      <c r="MY10" s="34"/>
      <c r="MZ10" s="34"/>
      <c r="NA10" s="34"/>
      <c r="NB10" s="34"/>
      <c r="NC10" s="34"/>
      <c r="ND10" s="34"/>
      <c r="NE10" s="34"/>
      <c r="NF10" s="34"/>
      <c r="NG10" s="34"/>
      <c r="NH10" s="34"/>
      <c r="NI10" s="34"/>
      <c r="NJ10" s="34"/>
      <c r="NK10" s="34"/>
      <c r="NL10" s="34"/>
      <c r="NM10" s="34"/>
      <c r="NN10" s="34"/>
      <c r="NO10" s="34"/>
      <c r="NP10" s="34"/>
      <c r="NQ10" s="34"/>
      <c r="NR10" s="34"/>
      <c r="NS10" s="34"/>
      <c r="NT10" s="34"/>
      <c r="NU10" s="34"/>
      <c r="NV10" s="34"/>
      <c r="NW10" s="34"/>
      <c r="NX10" s="34"/>
      <c r="NY10" s="34"/>
      <c r="NZ10" s="34"/>
      <c r="OA10" s="34"/>
      <c r="OB10" s="34"/>
      <c r="OC10" s="34"/>
      <c r="OD10" s="34"/>
      <c r="OE10" s="34"/>
      <c r="OF10" s="34"/>
      <c r="OG10" s="34"/>
      <c r="OH10" s="34"/>
      <c r="OI10" s="34"/>
      <c r="OJ10" s="34"/>
      <c r="OK10" s="34"/>
      <c r="OL10" s="34"/>
      <c r="OM10" s="34"/>
      <c r="ON10" s="34"/>
      <c r="OO10" s="34"/>
      <c r="OP10" s="34"/>
      <c r="OQ10" s="34"/>
      <c r="OR10" s="34"/>
      <c r="OS10" s="34"/>
      <c r="OT10" s="34"/>
      <c r="OU10" s="34"/>
      <c r="OV10" s="34"/>
      <c r="OW10" s="34"/>
      <c r="OX10" s="34"/>
      <c r="OY10" s="34"/>
      <c r="OZ10" s="34"/>
      <c r="PA10" s="34"/>
      <c r="PB10" s="34"/>
      <c r="PC10" s="34"/>
      <c r="PD10" s="34"/>
      <c r="PE10" s="34"/>
      <c r="PF10" s="34"/>
      <c r="PG10" s="34"/>
      <c r="PH10" s="34"/>
      <c r="PI10" s="34"/>
      <c r="PJ10" s="34"/>
      <c r="PK10" s="34"/>
      <c r="PL10" s="34"/>
      <c r="PM10" s="34"/>
      <c r="PN10" s="34"/>
      <c r="PO10" s="34"/>
      <c r="PP10" s="34"/>
      <c r="PQ10" s="34"/>
      <c r="PR10" s="34"/>
      <c r="PS10" s="34"/>
      <c r="PT10" s="34"/>
      <c r="PU10" s="34"/>
      <c r="PV10" s="34"/>
      <c r="PW10" s="34"/>
      <c r="PX10" s="34"/>
      <c r="PY10" s="34"/>
      <c r="PZ10" s="34"/>
      <c r="QA10" s="34"/>
      <c r="QB10" s="34"/>
      <c r="QC10" s="34"/>
      <c r="QD10" s="34"/>
      <c r="QE10" s="34"/>
      <c r="QF10" s="34"/>
      <c r="QG10" s="34"/>
      <c r="QH10" s="34"/>
      <c r="QI10" s="34"/>
      <c r="QJ10" s="34"/>
      <c r="QK10" s="34"/>
      <c r="QL10" s="34"/>
      <c r="QM10" s="34"/>
      <c r="QN10" s="34"/>
      <c r="QO10" s="34"/>
      <c r="QP10" s="34"/>
      <c r="QQ10" s="34"/>
      <c r="QR10" s="34"/>
      <c r="QS10" s="34"/>
      <c r="QT10" s="34"/>
      <c r="QU10" s="34"/>
      <c r="QV10" s="34"/>
      <c r="QW10" s="34"/>
      <c r="QX10" s="34"/>
      <c r="QY10" s="34"/>
      <c r="QZ10" s="34"/>
      <c r="RA10" s="34"/>
      <c r="RB10" s="34"/>
      <c r="RC10" s="34"/>
      <c r="RD10" s="34"/>
      <c r="RE10" s="34"/>
      <c r="RF10" s="34"/>
      <c r="RG10" s="34"/>
      <c r="RH10" s="34"/>
      <c r="RI10" s="34"/>
      <c r="RJ10" s="34"/>
      <c r="RK10" s="34"/>
      <c r="RL10" s="34"/>
      <c r="RM10" s="34"/>
      <c r="RN10" s="34"/>
      <c r="RO10" s="34"/>
      <c r="RP10" s="34"/>
      <c r="RQ10" s="34"/>
      <c r="RR10" s="34"/>
      <c r="RS10" s="34"/>
      <c r="RT10" s="34"/>
      <c r="RU10" s="34"/>
      <c r="RV10" s="34"/>
      <c r="RW10" s="34"/>
      <c r="RX10" s="34"/>
      <c r="RY10" s="34"/>
      <c r="RZ10" s="34"/>
      <c r="SA10" s="34"/>
      <c r="SB10" s="34"/>
      <c r="SC10" s="34"/>
      <c r="SD10" s="34"/>
      <c r="SE10" s="34"/>
      <c r="SF10" s="34"/>
      <c r="SG10" s="34"/>
      <c r="SH10" s="34"/>
      <c r="SI10" s="34"/>
      <c r="SJ10" s="34"/>
      <c r="SK10" s="34"/>
      <c r="SL10" s="34"/>
      <c r="SM10" s="34"/>
      <c r="SN10" s="34"/>
      <c r="SO10" s="34"/>
      <c r="SP10" s="34"/>
      <c r="SQ10" s="34"/>
      <c r="SR10" s="34"/>
      <c r="SS10" s="34"/>
      <c r="ST10" s="34"/>
      <c r="SU10" s="34"/>
      <c r="SV10" s="34"/>
      <c r="SW10" s="34"/>
      <c r="SX10" s="34"/>
      <c r="SY10" s="34"/>
      <c r="SZ10" s="34"/>
      <c r="TA10" s="34"/>
      <c r="TB10" s="34"/>
      <c r="TC10" s="34"/>
      <c r="TD10" s="34"/>
      <c r="TE10" s="34"/>
      <c r="TF10" s="34"/>
      <c r="TG10" s="34"/>
      <c r="TH10" s="34"/>
      <c r="TI10" s="34"/>
      <c r="TJ10" s="34"/>
      <c r="TK10" s="34"/>
      <c r="TL10" s="34"/>
      <c r="TM10" s="34"/>
      <c r="TN10" s="34"/>
      <c r="TO10" s="34"/>
      <c r="TP10" s="34"/>
      <c r="TQ10" s="34"/>
      <c r="TR10" s="34"/>
      <c r="TS10" s="34"/>
      <c r="TT10" s="34"/>
      <c r="TU10" s="34"/>
      <c r="TV10" s="34"/>
      <c r="TW10" s="34"/>
      <c r="TX10" s="34"/>
      <c r="TY10" s="34"/>
      <c r="TZ10" s="34"/>
      <c r="UA10" s="34"/>
      <c r="UB10" s="34"/>
      <c r="UC10" s="34"/>
      <c r="UD10" s="34"/>
      <c r="UE10" s="34"/>
      <c r="UF10" s="34"/>
      <c r="UG10" s="34"/>
      <c r="UH10" s="34"/>
      <c r="UI10" s="34"/>
      <c r="UJ10" s="34"/>
      <c r="UK10" s="34"/>
      <c r="UL10" s="34"/>
      <c r="UM10" s="34"/>
      <c r="UN10" s="34"/>
      <c r="UO10" s="34"/>
      <c r="UP10" s="34"/>
      <c r="UQ10" s="34"/>
      <c r="UR10" s="34"/>
      <c r="US10" s="34"/>
      <c r="UT10" s="34"/>
      <c r="UU10" s="34"/>
      <c r="UV10" s="34"/>
      <c r="UW10" s="34"/>
      <c r="UX10" s="34"/>
      <c r="UY10" s="34"/>
      <c r="UZ10" s="34"/>
      <c r="VA10" s="34"/>
      <c r="VB10" s="34"/>
      <c r="VC10" s="34"/>
      <c r="VD10" s="34"/>
      <c r="VE10" s="34"/>
      <c r="VF10" s="34"/>
      <c r="VG10" s="34"/>
      <c r="VH10" s="34"/>
      <c r="VI10" s="34"/>
      <c r="VJ10" s="34"/>
      <c r="VK10" s="34"/>
      <c r="VL10" s="34"/>
      <c r="VM10" s="34"/>
      <c r="VN10" s="34"/>
      <c r="VO10" s="34"/>
      <c r="VP10" s="34"/>
      <c r="VQ10" s="34"/>
      <c r="VR10" s="34"/>
      <c r="VS10" s="34"/>
      <c r="VT10" s="34"/>
      <c r="VU10" s="34"/>
      <c r="VV10" s="34"/>
      <c r="VW10" s="34"/>
      <c r="VX10" s="34"/>
      <c r="VY10" s="34"/>
      <c r="VZ10" s="34"/>
      <c r="WA10" s="34"/>
      <c r="WB10" s="34"/>
      <c r="WC10" s="34"/>
      <c r="WD10" s="34"/>
      <c r="WE10" s="34"/>
      <c r="WF10" s="34"/>
      <c r="WG10" s="34"/>
      <c r="WH10" s="34"/>
      <c r="WI10" s="34"/>
      <c r="WJ10" s="34"/>
      <c r="WK10" s="34"/>
      <c r="WL10" s="34"/>
      <c r="WM10" s="34"/>
      <c r="WN10" s="34"/>
      <c r="WO10" s="34"/>
      <c r="WP10" s="34"/>
      <c r="WQ10" s="34"/>
      <c r="WR10" s="34"/>
      <c r="WS10" s="34"/>
      <c r="WT10" s="34"/>
      <c r="WU10" s="34"/>
      <c r="WV10" s="34"/>
      <c r="WW10" s="34"/>
      <c r="WX10" s="34"/>
      <c r="WY10" s="34"/>
      <c r="WZ10" s="34"/>
      <c r="XA10" s="34"/>
      <c r="XB10" s="34"/>
      <c r="XC10" s="34"/>
      <c r="XD10" s="34"/>
      <c r="XE10" s="34"/>
      <c r="XF10" s="34"/>
      <c r="XG10" s="34"/>
      <c r="XH10" s="34"/>
      <c r="XI10" s="34"/>
      <c r="XJ10" s="34"/>
      <c r="XK10" s="34"/>
      <c r="XL10" s="34"/>
      <c r="XM10" s="34"/>
      <c r="XN10" s="34"/>
      <c r="XO10" s="34"/>
      <c r="XP10" s="34"/>
      <c r="XQ10" s="34"/>
      <c r="XR10" s="34"/>
      <c r="XS10" s="34"/>
      <c r="XT10" s="34"/>
      <c r="XU10" s="34"/>
      <c r="XV10" s="34"/>
      <c r="XW10" s="34"/>
      <c r="XX10" s="34"/>
      <c r="XY10" s="34"/>
      <c r="XZ10" s="34"/>
      <c r="YA10" s="34"/>
      <c r="YB10" s="34"/>
      <c r="YC10" s="34"/>
      <c r="YD10" s="34"/>
      <c r="YE10" s="34"/>
      <c r="YF10" s="34"/>
      <c r="YG10" s="34"/>
      <c r="YH10" s="34"/>
      <c r="YI10" s="34"/>
      <c r="YJ10" s="34"/>
      <c r="YK10" s="34"/>
      <c r="YL10" s="34"/>
      <c r="YM10" s="34"/>
      <c r="YN10" s="34"/>
      <c r="YO10" s="34"/>
      <c r="YP10" s="34"/>
      <c r="YQ10" s="34"/>
      <c r="YR10" s="34"/>
      <c r="YS10" s="34"/>
      <c r="YT10" s="34"/>
      <c r="YU10" s="34"/>
      <c r="YV10" s="34"/>
      <c r="YW10" s="34"/>
      <c r="YX10" s="34"/>
      <c r="YY10" s="34"/>
      <c r="YZ10" s="34"/>
      <c r="ZA10" s="34"/>
      <c r="ZB10" s="34"/>
      <c r="ZC10" s="34"/>
      <c r="ZD10" s="34"/>
      <c r="ZE10" s="34"/>
      <c r="ZF10" s="34"/>
      <c r="ZG10" s="34"/>
      <c r="ZH10" s="34"/>
      <c r="ZI10" s="34"/>
      <c r="ZJ10" s="34"/>
      <c r="ZK10" s="34"/>
      <c r="ZL10" s="34"/>
      <c r="ZM10" s="34"/>
      <c r="ZN10" s="34"/>
      <c r="ZO10" s="34"/>
      <c r="ZP10" s="34"/>
      <c r="ZQ10" s="34"/>
      <c r="ZR10" s="34"/>
      <c r="ZS10" s="34"/>
      <c r="ZT10" s="34"/>
      <c r="ZU10" s="34"/>
      <c r="ZV10" s="34"/>
      <c r="ZW10" s="34"/>
      <c r="ZX10" s="34"/>
      <c r="ZY10" s="34"/>
      <c r="ZZ10" s="34"/>
      <c r="AAA10" s="34"/>
      <c r="AAB10" s="34"/>
      <c r="AAC10" s="34"/>
      <c r="AAD10" s="34"/>
      <c r="AAE10" s="34"/>
      <c r="AAF10" s="34"/>
      <c r="AAG10" s="34"/>
      <c r="AAH10" s="34"/>
      <c r="AAI10" s="34"/>
      <c r="AAJ10" s="34"/>
      <c r="AAK10" s="34"/>
      <c r="AAL10" s="34"/>
      <c r="AAM10" s="34"/>
      <c r="AAN10" s="34"/>
      <c r="AAO10" s="34"/>
      <c r="AAP10" s="34"/>
      <c r="AAQ10" s="34"/>
      <c r="AAR10" s="34"/>
      <c r="AAS10" s="34"/>
      <c r="AAT10" s="34"/>
      <c r="AAU10" s="34"/>
      <c r="AAV10" s="34"/>
      <c r="AAW10" s="34"/>
      <c r="AAX10" s="34"/>
      <c r="AAY10" s="34"/>
      <c r="AAZ10" s="34"/>
      <c r="ABA10" s="34"/>
      <c r="ABB10" s="34"/>
      <c r="ABC10" s="34"/>
      <c r="ABD10" s="34"/>
      <c r="ABE10" s="34"/>
      <c r="ABF10" s="34"/>
      <c r="ABG10" s="34"/>
      <c r="ABH10" s="34"/>
      <c r="ABI10" s="34"/>
      <c r="ABJ10" s="34"/>
      <c r="ABK10" s="34"/>
      <c r="ABL10" s="34"/>
      <c r="ABM10" s="34"/>
      <c r="ABN10" s="34"/>
      <c r="ABO10" s="34"/>
      <c r="ABP10" s="34"/>
      <c r="ABQ10" s="34"/>
      <c r="ABR10" s="34"/>
      <c r="ABS10" s="34"/>
      <c r="ABT10" s="34"/>
      <c r="ABU10" s="34"/>
      <c r="ABV10" s="34"/>
      <c r="ABW10" s="34"/>
      <c r="ABX10" s="34"/>
      <c r="ABY10" s="34"/>
      <c r="ABZ10" s="34"/>
      <c r="ACA10" s="34"/>
      <c r="ACB10" s="34"/>
      <c r="ACC10" s="34"/>
      <c r="ACD10" s="34"/>
      <c r="ACE10" s="34"/>
      <c r="ACF10" s="34"/>
      <c r="ACG10" s="34"/>
      <c r="ACH10" s="34"/>
      <c r="ACI10" s="34"/>
      <c r="ACJ10" s="34"/>
      <c r="ACK10" s="34"/>
      <c r="ACL10" s="34"/>
      <c r="ACM10" s="34"/>
      <c r="ACN10" s="34"/>
      <c r="ACO10" s="34"/>
      <c r="ACP10" s="34"/>
      <c r="ACQ10" s="34"/>
      <c r="ACR10" s="34"/>
      <c r="ACS10" s="34"/>
      <c r="ACT10" s="34"/>
      <c r="ACU10" s="34"/>
      <c r="ACV10" s="34"/>
      <c r="ACW10" s="34"/>
      <c r="ACX10" s="34"/>
      <c r="ACY10" s="34"/>
      <c r="ACZ10" s="34"/>
      <c r="ADA10" s="34"/>
      <c r="ADB10" s="34"/>
      <c r="ADC10" s="34"/>
      <c r="ADD10" s="34"/>
      <c r="ADE10" s="34"/>
      <c r="ADF10" s="34"/>
      <c r="ADG10" s="34"/>
      <c r="ADH10" s="34"/>
      <c r="ADI10" s="34"/>
      <c r="ADJ10" s="34"/>
      <c r="ADK10" s="34"/>
      <c r="ADL10" s="34"/>
      <c r="ADM10" s="34"/>
      <c r="ADN10" s="34"/>
      <c r="ADO10" s="34"/>
      <c r="ADP10" s="34"/>
      <c r="ADQ10" s="34"/>
      <c r="ADR10" s="34"/>
      <c r="ADS10" s="34"/>
      <c r="ADT10" s="34"/>
      <c r="ADU10" s="34"/>
      <c r="ADV10" s="34"/>
      <c r="ADW10" s="34"/>
      <c r="ADX10" s="34"/>
      <c r="ADY10" s="34"/>
      <c r="ADZ10" s="34"/>
      <c r="AEA10" s="34"/>
      <c r="AEB10" s="34"/>
      <c r="AEC10" s="34"/>
      <c r="AED10" s="34"/>
      <c r="AEE10" s="34"/>
      <c r="AEF10" s="34"/>
      <c r="AEG10" s="34"/>
      <c r="AEH10" s="34"/>
      <c r="AEI10" s="34"/>
      <c r="AEJ10" s="34"/>
      <c r="AEK10" s="34"/>
      <c r="AEL10" s="34"/>
      <c r="AEM10" s="34"/>
      <c r="AEN10" s="34"/>
      <c r="AEO10" s="34"/>
      <c r="AEP10" s="34"/>
      <c r="AEQ10" s="34"/>
      <c r="AER10" s="34"/>
      <c r="AES10" s="34"/>
      <c r="AET10" s="34"/>
      <c r="AEU10" s="34"/>
      <c r="AEV10" s="34"/>
      <c r="AEW10" s="34"/>
      <c r="AEX10" s="34"/>
      <c r="AEY10" s="34"/>
      <c r="AEZ10" s="34"/>
      <c r="AFA10" s="34"/>
      <c r="AFB10" s="34"/>
      <c r="AFC10" s="34"/>
      <c r="AFD10" s="34"/>
      <c r="AFE10" s="34"/>
      <c r="AFF10" s="34"/>
      <c r="AFG10" s="34"/>
      <c r="AFH10" s="34"/>
      <c r="AFI10" s="34"/>
      <c r="AFJ10" s="34"/>
      <c r="AFK10" s="34"/>
      <c r="AFL10" s="34"/>
      <c r="AFM10" s="34"/>
      <c r="AFN10" s="34"/>
      <c r="AFO10" s="34"/>
      <c r="AFP10" s="34"/>
      <c r="AFQ10" s="34"/>
      <c r="AFR10" s="34"/>
      <c r="AFS10" s="34"/>
      <c r="AFT10" s="34"/>
      <c r="AFU10" s="34"/>
      <c r="AFV10" s="34"/>
      <c r="AFW10" s="34"/>
      <c r="AFX10" s="34"/>
      <c r="AFY10" s="34"/>
      <c r="AFZ10" s="34"/>
      <c r="AGA10" s="34"/>
      <c r="AGB10" s="34"/>
      <c r="AGC10" s="34"/>
      <c r="AGD10" s="34"/>
      <c r="AGE10" s="34"/>
      <c r="AGF10" s="34"/>
      <c r="AGG10" s="34"/>
      <c r="AGH10" s="34"/>
      <c r="AGI10" s="34"/>
      <c r="AGJ10" s="34"/>
      <c r="AGK10" s="34"/>
      <c r="AGL10" s="34"/>
      <c r="AGM10" s="34"/>
      <c r="AGN10" s="34"/>
      <c r="AGO10" s="34"/>
      <c r="AGP10" s="34"/>
      <c r="AGQ10" s="34"/>
      <c r="AGR10" s="34"/>
      <c r="AGS10" s="34"/>
      <c r="AGT10" s="34"/>
      <c r="AGU10" s="34"/>
      <c r="AGV10" s="34"/>
      <c r="AGW10" s="34"/>
      <c r="AGX10" s="34"/>
      <c r="AGY10" s="34"/>
      <c r="AGZ10" s="34"/>
      <c r="AHA10" s="34"/>
      <c r="AHB10" s="34"/>
      <c r="AHC10" s="34"/>
      <c r="AHD10" s="34"/>
      <c r="AHE10" s="34"/>
      <c r="AHF10" s="34"/>
      <c r="AHG10" s="34"/>
      <c r="AHH10" s="34"/>
      <c r="AHI10" s="34"/>
      <c r="AHJ10" s="34"/>
      <c r="AHK10" s="34"/>
      <c r="AHL10" s="34"/>
      <c r="AHM10" s="34"/>
      <c r="AHN10" s="34"/>
      <c r="AHO10" s="34"/>
      <c r="AHP10" s="34"/>
      <c r="AHQ10" s="34"/>
      <c r="AHR10" s="34"/>
      <c r="AHS10" s="34"/>
      <c r="AHT10" s="34"/>
      <c r="AHU10" s="34"/>
      <c r="AHV10" s="34"/>
      <c r="AHW10" s="34"/>
      <c r="AHX10" s="34"/>
      <c r="AHY10" s="34"/>
      <c r="AHZ10" s="34"/>
      <c r="AIA10" s="34"/>
      <c r="AIB10" s="34"/>
      <c r="AIC10" s="34"/>
      <c r="AID10" s="34"/>
      <c r="AIE10" s="34"/>
      <c r="AIF10" s="34"/>
      <c r="AIG10" s="34"/>
      <c r="AIH10" s="34"/>
      <c r="AII10" s="34"/>
      <c r="AIJ10" s="34"/>
      <c r="AIK10" s="34"/>
      <c r="AIL10" s="34"/>
      <c r="AIM10" s="34"/>
      <c r="AIN10" s="34"/>
      <c r="AIO10" s="34"/>
      <c r="AIP10" s="34"/>
      <c r="AIQ10" s="34"/>
      <c r="AIR10" s="34"/>
      <c r="AIS10" s="34"/>
      <c r="AIT10" s="34"/>
      <c r="AIU10" s="34"/>
      <c r="AIV10" s="34"/>
      <c r="AIW10" s="34"/>
      <c r="AIX10" s="34"/>
      <c r="AIY10" s="34"/>
      <c r="AIZ10" s="34"/>
      <c r="AJA10" s="34"/>
      <c r="AJB10" s="34"/>
      <c r="AJC10" s="34"/>
      <c r="AJD10" s="34"/>
      <c r="AJE10" s="34"/>
      <c r="AJF10" s="34"/>
      <c r="AJG10" s="34"/>
      <c r="AJH10" s="34"/>
      <c r="AJI10" s="34"/>
      <c r="AJJ10" s="34"/>
      <c r="AJK10" s="34"/>
      <c r="AJL10" s="34"/>
      <c r="AJM10" s="34"/>
      <c r="AJN10" s="34"/>
      <c r="AJO10" s="34"/>
      <c r="AJP10" s="34"/>
      <c r="AJQ10" s="34"/>
      <c r="AJR10" s="34"/>
      <c r="AJS10" s="34"/>
      <c r="AJT10" s="34"/>
      <c r="AJU10" s="34"/>
      <c r="AJV10" s="34"/>
      <c r="AJW10" s="34"/>
      <c r="AJX10" s="34"/>
      <c r="AJY10" s="34"/>
      <c r="AJZ10" s="34"/>
      <c r="AKA10" s="34"/>
      <c r="AKB10" s="34"/>
      <c r="AKC10" s="34"/>
      <c r="AKD10" s="34"/>
      <c r="AKE10" s="34"/>
      <c r="AKF10" s="34"/>
      <c r="AKG10" s="34"/>
      <c r="AKH10" s="34"/>
      <c r="AKI10" s="34"/>
      <c r="AKJ10" s="34"/>
      <c r="AKK10" s="34"/>
      <c r="AKL10" s="34"/>
      <c r="AKM10" s="34"/>
      <c r="AKN10" s="34"/>
      <c r="AKO10" s="34"/>
      <c r="AKP10" s="34"/>
      <c r="AKQ10" s="34"/>
      <c r="AKR10" s="34"/>
      <c r="AKS10" s="34"/>
      <c r="AKT10" s="34"/>
      <c r="AKU10" s="34"/>
      <c r="AKV10" s="34"/>
      <c r="AKW10" s="34"/>
      <c r="AKX10" s="34"/>
      <c r="AKY10" s="34"/>
      <c r="AKZ10" s="34"/>
      <c r="ALA10" s="34"/>
      <c r="ALB10" s="34"/>
      <c r="ALC10" s="34"/>
      <c r="ALD10" s="34"/>
      <c r="ALE10" s="34"/>
      <c r="ALF10" s="34"/>
      <c r="ALG10" s="34"/>
      <c r="ALH10" s="34"/>
      <c r="ALI10" s="34"/>
      <c r="ALJ10" s="34"/>
      <c r="ALK10" s="34"/>
      <c r="ALL10" s="34"/>
      <c r="ALM10" s="34"/>
      <c r="ALN10" s="34"/>
      <c r="ALO10" s="34"/>
      <c r="ALP10" s="34"/>
      <c r="ALQ10" s="34"/>
      <c r="ALR10" s="34"/>
      <c r="ALS10" s="34"/>
      <c r="ALT10" s="34"/>
      <c r="ALU10" s="34"/>
      <c r="ALV10" s="34"/>
      <c r="ALW10" s="34"/>
      <c r="ALX10" s="34"/>
      <c r="ALY10" s="34"/>
      <c r="ALZ10" s="34"/>
      <c r="AMA10" s="34"/>
      <c r="AMB10" s="34"/>
      <c r="AMC10" s="34"/>
      <c r="AMD10" s="34"/>
      <c r="AME10" s="34"/>
      <c r="AMF10" s="34"/>
      <c r="AMG10" s="34"/>
      <c r="AMH10" s="34"/>
      <c r="AMI10" s="34"/>
      <c r="AMJ10" s="34"/>
      <c r="AMK10" s="34"/>
      <c r="AML10" s="34"/>
      <c r="AMM10" s="34"/>
      <c r="AMN10" s="34"/>
      <c r="AMO10" s="34"/>
      <c r="AMP10" s="34"/>
      <c r="AMQ10" s="34"/>
      <c r="AMR10" s="34"/>
      <c r="AMS10" s="34"/>
      <c r="AMT10" s="34"/>
      <c r="AMU10" s="34"/>
      <c r="AMV10" s="34"/>
      <c r="AMW10" s="34"/>
      <c r="AMX10" s="34"/>
      <c r="AMY10" s="34"/>
      <c r="AMZ10" s="34"/>
      <c r="ANA10" s="34"/>
      <c r="ANB10" s="34"/>
      <c r="ANC10" s="34"/>
      <c r="AND10" s="34"/>
      <c r="ANE10" s="34"/>
      <c r="ANF10" s="34"/>
      <c r="ANG10" s="34"/>
      <c r="ANH10" s="34"/>
      <c r="ANI10" s="34"/>
      <c r="ANJ10" s="34"/>
      <c r="ANK10" s="34"/>
      <c r="ANL10" s="34"/>
      <c r="ANM10" s="34"/>
      <c r="ANN10" s="34"/>
      <c r="ANO10" s="34"/>
      <c r="ANP10" s="34"/>
      <c r="ANQ10" s="34"/>
      <c r="ANR10" s="34"/>
      <c r="ANS10" s="34"/>
      <c r="ANT10" s="34"/>
      <c r="ANU10" s="34"/>
      <c r="ANV10" s="34"/>
      <c r="ANW10" s="34"/>
      <c r="ANX10" s="34"/>
      <c r="ANY10" s="34"/>
      <c r="ANZ10" s="34"/>
      <c r="AOA10" s="34"/>
      <c r="AOB10" s="34"/>
      <c r="AOC10" s="34"/>
      <c r="AOD10" s="34"/>
      <c r="AOE10" s="34"/>
      <c r="AOF10" s="34"/>
      <c r="AOG10" s="34"/>
      <c r="AOH10" s="34"/>
      <c r="AOI10" s="34"/>
      <c r="AOJ10" s="34"/>
      <c r="AOK10" s="34"/>
      <c r="AOL10" s="34"/>
      <c r="AOM10" s="34"/>
      <c r="AON10" s="34"/>
      <c r="AOO10" s="34"/>
      <c r="AOP10" s="34"/>
      <c r="AOQ10" s="34"/>
      <c r="AOR10" s="34"/>
      <c r="AOS10" s="34"/>
      <c r="AOT10" s="34"/>
      <c r="AOU10" s="34"/>
      <c r="AOV10" s="34"/>
      <c r="AOW10" s="34"/>
      <c r="AOX10" s="34"/>
      <c r="AOY10" s="34"/>
      <c r="AOZ10" s="34"/>
      <c r="APA10" s="34"/>
      <c r="APB10" s="34"/>
      <c r="APC10" s="34"/>
      <c r="APD10" s="34"/>
      <c r="APE10" s="34"/>
      <c r="APF10" s="34"/>
      <c r="APG10" s="34"/>
      <c r="APH10" s="34"/>
      <c r="API10" s="34"/>
      <c r="APJ10" s="34"/>
      <c r="APK10" s="34"/>
      <c r="APL10" s="34"/>
      <c r="APM10" s="34"/>
      <c r="APN10" s="34"/>
      <c r="APO10" s="34"/>
      <c r="APP10" s="34"/>
      <c r="APQ10" s="34"/>
      <c r="APR10" s="34"/>
      <c r="APS10" s="34"/>
      <c r="APT10" s="34"/>
      <c r="APU10" s="34"/>
      <c r="APV10" s="34"/>
      <c r="APW10" s="34"/>
      <c r="APX10" s="34"/>
      <c r="APY10" s="34"/>
      <c r="APZ10" s="34"/>
      <c r="AQA10" s="34"/>
      <c r="AQB10" s="34"/>
      <c r="AQC10" s="34"/>
      <c r="AQD10" s="34"/>
      <c r="AQE10" s="34"/>
      <c r="AQF10" s="34"/>
      <c r="AQG10" s="34"/>
      <c r="AQH10" s="34"/>
      <c r="AQI10" s="34"/>
      <c r="AQJ10" s="34"/>
      <c r="AQK10" s="34"/>
      <c r="AQL10" s="34"/>
      <c r="AQM10" s="34"/>
      <c r="AQN10" s="34"/>
      <c r="AQO10" s="34"/>
      <c r="AQP10" s="34"/>
      <c r="AQQ10" s="34"/>
      <c r="AQR10" s="34"/>
      <c r="AQS10" s="34"/>
      <c r="AQT10" s="34"/>
      <c r="AQU10" s="34"/>
      <c r="AQV10" s="34"/>
      <c r="AQW10" s="34"/>
      <c r="AQX10" s="34"/>
      <c r="AQY10" s="34"/>
      <c r="AQZ10" s="34"/>
      <c r="ARA10" s="34"/>
      <c r="ARB10" s="34"/>
      <c r="ARC10" s="34"/>
      <c r="ARD10" s="34"/>
      <c r="ARE10" s="34"/>
      <c r="ARF10" s="34"/>
      <c r="ARG10" s="34"/>
      <c r="ARH10" s="34"/>
      <c r="ARI10" s="34"/>
      <c r="ARJ10" s="34"/>
      <c r="ARK10" s="34"/>
      <c r="ARL10" s="34"/>
      <c r="ARM10" s="34"/>
      <c r="ARN10" s="34"/>
      <c r="ARO10" s="34"/>
      <c r="ARP10" s="34"/>
      <c r="ARQ10" s="34"/>
      <c r="ARR10" s="34"/>
      <c r="ARS10" s="34"/>
      <c r="ART10" s="34"/>
      <c r="ARU10" s="34"/>
      <c r="ARV10" s="34"/>
      <c r="ARW10" s="34"/>
      <c r="ARX10" s="34"/>
      <c r="ARY10" s="34"/>
      <c r="ARZ10" s="34"/>
      <c r="ASA10" s="34"/>
      <c r="ASB10" s="34"/>
      <c r="ASC10" s="34"/>
      <c r="ASD10" s="34"/>
      <c r="ASE10" s="34"/>
      <c r="ASF10" s="34"/>
      <c r="ASG10" s="34"/>
      <c r="ASH10" s="34"/>
      <c r="ASI10" s="34"/>
      <c r="ASJ10" s="34"/>
      <c r="ASK10" s="34"/>
      <c r="ASL10" s="34"/>
      <c r="ASM10" s="34"/>
      <c r="ASN10" s="34"/>
      <c r="ASO10" s="34"/>
      <c r="ASP10" s="34"/>
      <c r="ASQ10" s="34"/>
      <c r="ASR10" s="34"/>
      <c r="ASS10" s="34"/>
      <c r="AST10" s="34"/>
      <c r="ASU10" s="34"/>
      <c r="ASV10" s="34"/>
      <c r="ASW10" s="34"/>
      <c r="ASX10" s="34"/>
      <c r="ASY10" s="34"/>
      <c r="ASZ10" s="34"/>
      <c r="ATA10" s="34"/>
      <c r="ATB10" s="34"/>
      <c r="ATC10" s="34"/>
      <c r="ATD10" s="34"/>
      <c r="ATE10" s="34"/>
      <c r="ATF10" s="34"/>
      <c r="ATG10" s="34"/>
      <c r="ATH10" s="34"/>
      <c r="ATI10" s="34"/>
      <c r="ATJ10" s="34"/>
      <c r="ATK10" s="34"/>
      <c r="ATL10" s="34"/>
      <c r="ATM10" s="34"/>
      <c r="ATN10" s="34"/>
      <c r="ATO10" s="34"/>
      <c r="ATP10" s="34"/>
      <c r="ATQ10" s="34"/>
      <c r="ATR10" s="34"/>
      <c r="ATS10" s="34"/>
      <c r="ATT10" s="34"/>
      <c r="ATU10" s="34"/>
      <c r="ATV10" s="34"/>
      <c r="ATW10" s="34"/>
      <c r="ATX10" s="34"/>
      <c r="ATY10" s="34"/>
      <c r="ATZ10" s="34"/>
      <c r="AUA10" s="34"/>
      <c r="AUB10" s="34"/>
      <c r="AUC10" s="34"/>
      <c r="AUD10" s="34"/>
      <c r="AUE10" s="34"/>
      <c r="AUF10" s="34"/>
      <c r="AUG10" s="34"/>
      <c r="AUH10" s="34"/>
      <c r="AUI10" s="34"/>
      <c r="AUJ10" s="34"/>
      <c r="AUK10" s="34"/>
      <c r="AUL10" s="34"/>
      <c r="AUM10" s="34"/>
      <c r="AUN10" s="34"/>
      <c r="AUO10" s="34"/>
      <c r="AUP10" s="34"/>
      <c r="AUQ10" s="34"/>
      <c r="AUR10" s="34"/>
      <c r="AUS10" s="34"/>
      <c r="AUT10" s="34"/>
      <c r="AUU10" s="34"/>
      <c r="AUV10" s="34"/>
      <c r="AUW10" s="34"/>
      <c r="AUX10" s="34"/>
      <c r="AUY10" s="34"/>
      <c r="AUZ10" s="34"/>
      <c r="AVA10" s="34"/>
      <c r="AVB10" s="34"/>
      <c r="AVC10" s="34"/>
      <c r="AVD10" s="34"/>
      <c r="AVE10" s="34"/>
      <c r="AVF10" s="34"/>
      <c r="AVG10" s="34"/>
      <c r="AVH10" s="34"/>
      <c r="AVI10" s="34"/>
      <c r="AVJ10" s="34"/>
      <c r="AVK10" s="34"/>
      <c r="AVL10" s="34"/>
      <c r="AVM10" s="34"/>
      <c r="AVN10" s="34"/>
      <c r="AVO10" s="34"/>
      <c r="AVP10" s="34"/>
      <c r="AVQ10" s="34"/>
      <c r="AVR10" s="34"/>
      <c r="AVS10" s="34"/>
      <c r="AVT10" s="34"/>
      <c r="AVU10" s="34"/>
      <c r="AVV10" s="34"/>
      <c r="AVW10" s="34"/>
      <c r="AVX10" s="34"/>
      <c r="AVY10" s="34"/>
      <c r="AVZ10" s="34"/>
      <c r="AWA10" s="34"/>
      <c r="AWB10" s="34"/>
      <c r="AWC10" s="34"/>
      <c r="AWD10" s="34"/>
      <c r="AWE10" s="34"/>
      <c r="AWF10" s="34"/>
      <c r="AWG10" s="34"/>
      <c r="AWH10" s="34"/>
      <c r="AWI10" s="34"/>
      <c r="AWJ10" s="34"/>
      <c r="AWK10" s="34"/>
      <c r="AWL10" s="34"/>
      <c r="AWM10" s="34"/>
      <c r="AWN10" s="34"/>
      <c r="AWO10" s="34"/>
      <c r="AWP10" s="34"/>
      <c r="AWQ10" s="34"/>
      <c r="AWR10" s="34"/>
      <c r="AWS10" s="34"/>
      <c r="AWT10" s="34"/>
      <c r="AWU10" s="34"/>
      <c r="AWV10" s="34"/>
      <c r="AWW10" s="34"/>
      <c r="AWX10" s="34"/>
      <c r="AWY10" s="34"/>
      <c r="AWZ10" s="34"/>
      <c r="AXA10" s="34"/>
      <c r="AXB10" s="34"/>
      <c r="AXC10" s="34"/>
      <c r="AXD10" s="34"/>
      <c r="AXE10" s="34"/>
      <c r="AXF10" s="34"/>
      <c r="AXG10" s="34"/>
      <c r="AXH10" s="34"/>
      <c r="AXI10" s="34"/>
      <c r="AXJ10" s="34"/>
      <c r="AXK10" s="34"/>
      <c r="AXL10" s="34"/>
      <c r="AXM10" s="34"/>
      <c r="AXN10" s="34"/>
      <c r="AXO10" s="34"/>
      <c r="AXP10" s="34"/>
      <c r="AXQ10" s="34"/>
      <c r="AXR10" s="34"/>
      <c r="AXS10" s="34"/>
      <c r="AXT10" s="34"/>
      <c r="AXU10" s="34"/>
      <c r="AXV10" s="34"/>
      <c r="AXW10" s="34"/>
      <c r="AXX10" s="34"/>
      <c r="AXY10" s="34"/>
      <c r="AXZ10" s="34"/>
      <c r="AYA10" s="34"/>
      <c r="AYB10" s="34"/>
      <c r="AYC10" s="34"/>
      <c r="AYD10" s="34"/>
      <c r="AYE10" s="34"/>
      <c r="AYF10" s="34"/>
      <c r="AYG10" s="34"/>
      <c r="AYH10" s="34"/>
      <c r="AYI10" s="34"/>
      <c r="AYJ10" s="34"/>
      <c r="AYK10" s="34"/>
      <c r="AYL10" s="34"/>
      <c r="AYM10" s="34"/>
      <c r="AYN10" s="34"/>
      <c r="AYO10" s="34"/>
      <c r="AYP10" s="34"/>
      <c r="AYQ10" s="34"/>
      <c r="AYR10" s="34"/>
      <c r="AYS10" s="34"/>
      <c r="AYT10" s="34"/>
      <c r="AYU10" s="34"/>
      <c r="AYV10" s="34"/>
      <c r="AYW10" s="34"/>
      <c r="AYX10" s="34"/>
      <c r="AYY10" s="34"/>
      <c r="AYZ10" s="34"/>
      <c r="AZA10" s="34"/>
      <c r="AZB10" s="34"/>
      <c r="AZC10" s="34"/>
      <c r="AZD10" s="34"/>
      <c r="AZE10" s="34"/>
      <c r="AZF10" s="34"/>
      <c r="AZG10" s="34"/>
      <c r="AZH10" s="34"/>
      <c r="AZI10" s="34"/>
      <c r="AZJ10" s="34"/>
      <c r="AZK10" s="34"/>
      <c r="AZL10" s="34"/>
      <c r="AZM10" s="34"/>
      <c r="AZN10" s="34"/>
      <c r="AZO10" s="34"/>
      <c r="AZP10" s="34"/>
      <c r="AZQ10" s="34"/>
      <c r="AZR10" s="34"/>
      <c r="AZS10" s="34"/>
      <c r="AZT10" s="34"/>
      <c r="AZU10" s="34"/>
      <c r="AZV10" s="34"/>
      <c r="AZW10" s="34"/>
      <c r="AZX10" s="34"/>
      <c r="AZY10" s="34"/>
      <c r="AZZ10" s="34"/>
      <c r="BAA10" s="34"/>
      <c r="BAB10" s="34"/>
      <c r="BAC10" s="34"/>
      <c r="BAD10" s="34"/>
      <c r="BAE10" s="34"/>
      <c r="BAF10" s="34"/>
      <c r="BAG10" s="34"/>
      <c r="BAH10" s="34"/>
      <c r="BAI10" s="34"/>
      <c r="BAJ10" s="34"/>
      <c r="BAK10" s="34"/>
      <c r="BAL10" s="34"/>
      <c r="BAM10" s="34"/>
      <c r="BAN10" s="34"/>
      <c r="BAO10" s="34"/>
      <c r="BAP10" s="34"/>
      <c r="BAQ10" s="34"/>
      <c r="BAR10" s="34"/>
      <c r="BAS10" s="34"/>
      <c r="BAT10" s="34"/>
      <c r="BAU10" s="34"/>
      <c r="BAV10" s="34"/>
      <c r="BAW10" s="34"/>
      <c r="BAX10" s="34"/>
      <c r="BAY10" s="34"/>
      <c r="BAZ10" s="34"/>
      <c r="BBA10" s="34"/>
      <c r="BBB10" s="34"/>
      <c r="BBC10" s="34"/>
      <c r="BBD10" s="34"/>
      <c r="BBE10" s="34"/>
      <c r="BBF10" s="34"/>
      <c r="BBG10" s="34"/>
      <c r="BBH10" s="34"/>
      <c r="BBI10" s="34"/>
      <c r="BBJ10" s="34"/>
      <c r="BBK10" s="34"/>
      <c r="BBL10" s="34"/>
      <c r="BBM10" s="34"/>
      <c r="BBN10" s="34"/>
      <c r="BBO10" s="34"/>
      <c r="BBP10" s="34"/>
      <c r="BBQ10" s="34"/>
      <c r="BBR10" s="34"/>
      <c r="BBS10" s="34"/>
      <c r="BBT10" s="34"/>
      <c r="BBU10" s="34"/>
      <c r="BBV10" s="34"/>
      <c r="BBW10" s="34"/>
      <c r="BBX10" s="34"/>
      <c r="BBY10" s="34"/>
      <c r="BBZ10" s="34"/>
      <c r="BCA10" s="34"/>
      <c r="BCB10" s="34"/>
      <c r="BCC10" s="34"/>
      <c r="BCD10" s="34"/>
      <c r="BCE10" s="34"/>
      <c r="BCF10" s="34"/>
      <c r="BCG10" s="34"/>
      <c r="BCH10" s="34"/>
      <c r="BCI10" s="34"/>
      <c r="BCJ10" s="34"/>
      <c r="BCK10" s="34"/>
      <c r="BCL10" s="34"/>
      <c r="BCM10" s="34"/>
      <c r="BCN10" s="34"/>
      <c r="BCO10" s="34"/>
      <c r="BCP10" s="34"/>
      <c r="BCQ10" s="34"/>
      <c r="BCR10" s="34"/>
      <c r="BCS10" s="34"/>
      <c r="BCT10" s="34"/>
      <c r="BCU10" s="34"/>
      <c r="BCV10" s="34"/>
      <c r="BCW10" s="34"/>
      <c r="BCX10" s="34"/>
      <c r="BCY10" s="34"/>
      <c r="BCZ10" s="34"/>
      <c r="BDA10" s="34"/>
      <c r="BDB10" s="34"/>
      <c r="BDC10" s="34"/>
      <c r="BDD10" s="34"/>
      <c r="BDE10" s="34"/>
      <c r="BDF10" s="34"/>
      <c r="BDG10" s="34"/>
      <c r="BDH10" s="34"/>
      <c r="BDI10" s="34"/>
      <c r="BDJ10" s="34"/>
      <c r="BDK10" s="34"/>
      <c r="BDL10" s="34"/>
      <c r="BDM10" s="34"/>
      <c r="BDN10" s="34"/>
      <c r="BDO10" s="34"/>
      <c r="BDP10" s="34"/>
      <c r="BDQ10" s="34"/>
      <c r="BDR10" s="34"/>
      <c r="BDS10" s="34"/>
      <c r="BDT10" s="34"/>
      <c r="BDU10" s="34"/>
      <c r="BDV10" s="34"/>
      <c r="BDW10" s="34"/>
      <c r="BDX10" s="34"/>
      <c r="BDY10" s="34"/>
      <c r="BDZ10" s="34"/>
      <c r="BEA10" s="34"/>
      <c r="BEB10" s="34"/>
      <c r="BEC10" s="34"/>
      <c r="BED10" s="34"/>
      <c r="BEE10" s="34"/>
      <c r="BEF10" s="34"/>
      <c r="BEG10" s="34"/>
      <c r="BEH10" s="34"/>
      <c r="BEI10" s="34"/>
      <c r="BEJ10" s="34"/>
      <c r="BEK10" s="34"/>
      <c r="BEL10" s="34"/>
      <c r="BEM10" s="34"/>
      <c r="BEN10" s="34"/>
      <c r="BEO10" s="34"/>
      <c r="BEP10" s="34"/>
      <c r="BEQ10" s="34"/>
      <c r="BER10" s="34"/>
      <c r="BES10" s="34"/>
      <c r="BET10" s="34"/>
      <c r="BEU10" s="34"/>
      <c r="BEV10" s="34"/>
      <c r="BEW10" s="34"/>
      <c r="BEX10" s="34"/>
      <c r="BEY10" s="34"/>
      <c r="BEZ10" s="34"/>
      <c r="BFA10" s="34"/>
      <c r="BFB10" s="34"/>
      <c r="BFC10" s="34"/>
      <c r="BFD10" s="34"/>
      <c r="BFE10" s="34"/>
      <c r="BFF10" s="34"/>
      <c r="BFG10" s="34"/>
      <c r="BFH10" s="34"/>
      <c r="BFI10" s="34"/>
      <c r="BFJ10" s="34"/>
      <c r="BFK10" s="34"/>
      <c r="BFL10" s="34"/>
      <c r="BFM10" s="34"/>
      <c r="BFN10" s="34"/>
      <c r="BFO10" s="34"/>
      <c r="BFP10" s="34"/>
      <c r="BFQ10" s="34"/>
      <c r="BFR10" s="34"/>
      <c r="BFS10" s="34"/>
      <c r="BFT10" s="34"/>
      <c r="BFU10" s="34"/>
      <c r="BFV10" s="34"/>
      <c r="BFW10" s="34"/>
      <c r="BFX10" s="34"/>
      <c r="BFY10" s="34"/>
      <c r="BFZ10" s="34"/>
      <c r="BGA10" s="34"/>
      <c r="BGB10" s="34"/>
      <c r="BGC10" s="34"/>
      <c r="BGD10" s="34"/>
      <c r="BGE10" s="34"/>
      <c r="BGF10" s="34"/>
      <c r="BGG10" s="34"/>
      <c r="BGH10" s="34"/>
      <c r="BGI10" s="34"/>
      <c r="BGJ10" s="34"/>
      <c r="BGK10" s="34"/>
      <c r="BGL10" s="34"/>
      <c r="BGM10" s="34"/>
      <c r="BGN10" s="34"/>
      <c r="BGO10" s="34"/>
      <c r="BGP10" s="34"/>
      <c r="BGQ10" s="34"/>
      <c r="BGR10" s="34"/>
      <c r="BGS10" s="34"/>
      <c r="BGT10" s="34"/>
      <c r="BGU10" s="34"/>
      <c r="BGV10" s="34"/>
      <c r="BGW10" s="34"/>
      <c r="BGX10" s="34"/>
      <c r="BGY10" s="34"/>
      <c r="BGZ10" s="34"/>
      <c r="BHA10" s="34"/>
      <c r="BHB10" s="34"/>
      <c r="BHC10" s="34"/>
      <c r="BHD10" s="34"/>
      <c r="BHE10" s="34"/>
      <c r="BHF10" s="34"/>
      <c r="BHG10" s="34"/>
      <c r="BHH10" s="34"/>
      <c r="BHI10" s="34"/>
      <c r="BHJ10" s="34"/>
      <c r="BHK10" s="34"/>
      <c r="BHL10" s="34"/>
      <c r="BHM10" s="34"/>
      <c r="BHN10" s="34"/>
      <c r="BHO10" s="34"/>
      <c r="BHP10" s="34"/>
      <c r="BHQ10" s="34"/>
      <c r="BHR10" s="34"/>
      <c r="BHS10" s="34"/>
      <c r="BHT10" s="34"/>
      <c r="BHU10" s="34"/>
      <c r="BHV10" s="34"/>
      <c r="BHW10" s="34"/>
      <c r="BHX10" s="34"/>
      <c r="BHY10" s="34"/>
      <c r="BHZ10" s="34"/>
      <c r="BIA10" s="34"/>
      <c r="BIB10" s="34"/>
      <c r="BIC10" s="34"/>
      <c r="BID10" s="34"/>
      <c r="BIE10" s="34"/>
      <c r="BIF10" s="34"/>
      <c r="BIG10" s="34"/>
      <c r="BIH10" s="34"/>
      <c r="BII10" s="34"/>
      <c r="BIJ10" s="34"/>
      <c r="BIK10" s="34"/>
      <c r="BIL10" s="34"/>
      <c r="BIM10" s="34"/>
      <c r="BIN10" s="34"/>
      <c r="BIO10" s="34"/>
      <c r="BIP10" s="34"/>
      <c r="BIQ10" s="34"/>
      <c r="BIR10" s="34"/>
      <c r="BIS10" s="34"/>
      <c r="BIT10" s="34"/>
      <c r="BIU10" s="34"/>
      <c r="BIV10" s="34"/>
      <c r="BIW10" s="34"/>
      <c r="BIX10" s="34"/>
      <c r="BIY10" s="34"/>
      <c r="BIZ10" s="34"/>
      <c r="BJA10" s="34"/>
      <c r="BJB10" s="34"/>
      <c r="BJC10" s="34"/>
      <c r="BJD10" s="34"/>
      <c r="BJE10" s="34"/>
      <c r="BJF10" s="34"/>
      <c r="BJG10" s="34"/>
      <c r="BJH10" s="34"/>
      <c r="BJI10" s="34"/>
      <c r="BJJ10" s="34"/>
      <c r="BJK10" s="34"/>
      <c r="BJL10" s="34"/>
      <c r="BJM10" s="34"/>
      <c r="BJN10" s="34"/>
      <c r="BJO10" s="34"/>
      <c r="BJP10" s="34"/>
      <c r="BJQ10" s="34"/>
      <c r="BJR10" s="34"/>
      <c r="BJS10" s="34"/>
      <c r="BJT10" s="34"/>
      <c r="BJU10" s="34"/>
      <c r="BJV10" s="34"/>
      <c r="BJW10" s="34"/>
      <c r="BJX10" s="34"/>
      <c r="BJY10" s="34"/>
      <c r="BJZ10" s="34"/>
      <c r="BKA10" s="34"/>
      <c r="BKB10" s="34"/>
      <c r="BKC10" s="34"/>
      <c r="BKD10" s="34"/>
      <c r="BKE10" s="34"/>
      <c r="BKF10" s="34"/>
      <c r="BKG10" s="34"/>
      <c r="BKH10" s="34"/>
      <c r="BKI10" s="34"/>
      <c r="BKJ10" s="34"/>
      <c r="BKK10" s="34"/>
      <c r="BKL10" s="34"/>
      <c r="BKM10" s="34"/>
      <c r="BKN10" s="34"/>
      <c r="BKO10" s="34"/>
      <c r="BKP10" s="34"/>
      <c r="BKQ10" s="34"/>
      <c r="BKR10" s="34"/>
      <c r="BKS10" s="34"/>
      <c r="BKT10" s="34"/>
      <c r="BKU10" s="34"/>
      <c r="BKV10" s="34"/>
      <c r="BKW10" s="34"/>
      <c r="BKX10" s="34"/>
      <c r="BKY10" s="34"/>
      <c r="BKZ10" s="34"/>
      <c r="BLA10" s="34"/>
      <c r="BLB10" s="34"/>
      <c r="BLC10" s="34"/>
      <c r="BLD10" s="34"/>
      <c r="BLE10" s="34"/>
      <c r="BLF10" s="34"/>
      <c r="BLG10" s="34"/>
      <c r="BLH10" s="34"/>
      <c r="BLI10" s="34"/>
      <c r="BLJ10" s="34"/>
      <c r="BLK10" s="34"/>
      <c r="BLL10" s="34"/>
      <c r="BLM10" s="34"/>
      <c r="BLN10" s="34"/>
      <c r="BLO10" s="34"/>
      <c r="BLP10" s="34"/>
      <c r="BLQ10" s="34"/>
      <c r="BLR10" s="34"/>
      <c r="BLS10" s="34"/>
      <c r="BLT10" s="34"/>
      <c r="BLU10" s="34"/>
      <c r="BLV10" s="34"/>
      <c r="BLW10" s="34"/>
      <c r="BLX10" s="34"/>
      <c r="BLY10" s="34"/>
      <c r="BLZ10" s="34"/>
      <c r="BMA10" s="34"/>
      <c r="BMB10" s="34"/>
      <c r="BMC10" s="34"/>
      <c r="BMD10" s="34"/>
      <c r="BME10" s="34"/>
      <c r="BMF10" s="34"/>
      <c r="BMG10" s="34"/>
      <c r="BMH10" s="34"/>
      <c r="BMI10" s="34"/>
      <c r="BMJ10" s="34"/>
      <c r="BMK10" s="34"/>
      <c r="BML10" s="34"/>
      <c r="BMM10" s="34"/>
      <c r="BMN10" s="34"/>
      <c r="BMO10" s="34"/>
      <c r="BMP10" s="34"/>
      <c r="BMQ10" s="34"/>
      <c r="BMR10" s="34"/>
      <c r="BMS10" s="34"/>
      <c r="BMT10" s="34"/>
      <c r="BMU10" s="34"/>
      <c r="BMV10" s="34"/>
      <c r="BMW10" s="34"/>
      <c r="BMX10" s="34"/>
      <c r="BMY10" s="34"/>
      <c r="BMZ10" s="34"/>
      <c r="BNA10" s="34"/>
      <c r="BNB10" s="34"/>
      <c r="BNC10" s="34"/>
      <c r="BND10" s="34"/>
      <c r="BNE10" s="34"/>
      <c r="BNF10" s="34"/>
      <c r="BNG10" s="34"/>
      <c r="BNH10" s="34"/>
      <c r="BNI10" s="34"/>
      <c r="BNJ10" s="34"/>
      <c r="BNK10" s="34"/>
      <c r="BNL10" s="34"/>
      <c r="BNM10" s="34"/>
      <c r="BNN10" s="34"/>
      <c r="BNO10" s="34"/>
      <c r="BNP10" s="34"/>
      <c r="BNQ10" s="34"/>
      <c r="BNR10" s="34"/>
      <c r="BNS10" s="34"/>
      <c r="BNT10" s="34"/>
      <c r="BNU10" s="34"/>
      <c r="BNV10" s="34"/>
      <c r="BNW10" s="34"/>
      <c r="BNX10" s="34"/>
      <c r="BNY10" s="34"/>
      <c r="BNZ10" s="34"/>
      <c r="BOA10" s="34"/>
      <c r="BOB10" s="34"/>
      <c r="BOC10" s="34"/>
      <c r="BOD10" s="34"/>
      <c r="BOE10" s="34"/>
      <c r="BOF10" s="34"/>
      <c r="BOG10" s="34"/>
      <c r="BOH10" s="34"/>
      <c r="BOI10" s="34"/>
      <c r="BOJ10" s="34"/>
      <c r="BOK10" s="34"/>
      <c r="BOL10" s="34"/>
      <c r="BOM10" s="34"/>
      <c r="BON10" s="34"/>
      <c r="BOO10" s="34"/>
      <c r="BOP10" s="34"/>
      <c r="BOQ10" s="34"/>
      <c r="BOR10" s="34"/>
      <c r="BOS10" s="34"/>
      <c r="BOT10" s="34"/>
      <c r="BOU10" s="34"/>
      <c r="BOV10" s="34"/>
      <c r="BOW10" s="34"/>
      <c r="BOX10" s="34"/>
      <c r="BOY10" s="34"/>
      <c r="BOZ10" s="34"/>
      <c r="BPA10" s="34"/>
      <c r="BPB10" s="34"/>
      <c r="BPC10" s="34"/>
      <c r="BPD10" s="34"/>
      <c r="BPE10" s="34"/>
      <c r="BPF10" s="34"/>
      <c r="BPG10" s="34"/>
      <c r="BPH10" s="34"/>
      <c r="BPI10" s="34"/>
      <c r="BPJ10" s="34"/>
      <c r="BPK10" s="34"/>
      <c r="BPL10" s="34"/>
      <c r="BPM10" s="34"/>
      <c r="BPN10" s="34"/>
      <c r="BPO10" s="34"/>
      <c r="BPP10" s="34"/>
      <c r="BPQ10" s="34"/>
      <c r="BPR10" s="34"/>
      <c r="BPS10" s="34"/>
      <c r="BPT10" s="34"/>
      <c r="BPU10" s="34"/>
      <c r="BPV10" s="34"/>
      <c r="BPW10" s="34"/>
      <c r="BPX10" s="34"/>
      <c r="BPY10" s="34"/>
      <c r="BPZ10" s="34"/>
      <c r="BQA10" s="34"/>
      <c r="BQB10" s="34"/>
      <c r="BQC10" s="34"/>
      <c r="BQD10" s="34"/>
      <c r="BQE10" s="34"/>
      <c r="BQF10" s="34"/>
      <c r="BQG10" s="34"/>
      <c r="BQH10" s="34"/>
      <c r="BQI10" s="34"/>
      <c r="BQJ10" s="34"/>
      <c r="BQK10" s="34"/>
      <c r="BQL10" s="34"/>
      <c r="BQM10" s="34"/>
      <c r="BQN10" s="34"/>
      <c r="BQO10" s="34"/>
      <c r="BQP10" s="34"/>
      <c r="BQQ10" s="34"/>
      <c r="BQR10" s="34"/>
      <c r="BQS10" s="34"/>
      <c r="BQT10" s="34"/>
      <c r="BQU10" s="34"/>
      <c r="BQV10" s="34"/>
      <c r="BQW10" s="34"/>
      <c r="BQX10" s="34"/>
      <c r="BQY10" s="34"/>
      <c r="BQZ10" s="34"/>
      <c r="BRA10" s="34"/>
      <c r="BRB10" s="34"/>
      <c r="BRC10" s="34"/>
      <c r="BRD10" s="34"/>
      <c r="BRE10" s="34"/>
      <c r="BRF10" s="34"/>
      <c r="BRG10" s="34"/>
      <c r="BRH10" s="34"/>
      <c r="BRI10" s="34"/>
      <c r="BRJ10" s="34"/>
      <c r="BRK10" s="34"/>
      <c r="BRL10" s="34"/>
      <c r="BRM10" s="34"/>
      <c r="BRN10" s="34"/>
      <c r="BRO10" s="34"/>
      <c r="BRP10" s="34"/>
      <c r="BRQ10" s="34"/>
      <c r="BRR10" s="34"/>
      <c r="BRS10" s="34"/>
      <c r="BRT10" s="34"/>
      <c r="BRU10" s="34"/>
      <c r="BRV10" s="34"/>
      <c r="BRW10" s="34"/>
      <c r="BRX10" s="34"/>
      <c r="BRY10" s="34"/>
      <c r="BRZ10" s="34"/>
      <c r="BSA10" s="34"/>
      <c r="BSB10" s="34"/>
      <c r="BSC10" s="34"/>
      <c r="BSD10" s="34"/>
      <c r="BSE10" s="34"/>
      <c r="BSF10" s="34"/>
      <c r="BSG10" s="34"/>
      <c r="BSH10" s="34"/>
      <c r="BSI10" s="34"/>
      <c r="BSJ10" s="34"/>
      <c r="BSK10" s="34"/>
      <c r="BSL10" s="34"/>
      <c r="BSM10" s="34"/>
      <c r="BSN10" s="34"/>
      <c r="BSO10" s="34"/>
      <c r="BSP10" s="34"/>
      <c r="BSQ10" s="34"/>
      <c r="BSR10" s="34"/>
      <c r="BSS10" s="34"/>
      <c r="BST10" s="34"/>
      <c r="BSU10" s="34"/>
      <c r="BSV10" s="34"/>
      <c r="BSW10" s="34"/>
      <c r="BSX10" s="34"/>
      <c r="BSY10" s="34"/>
      <c r="BSZ10" s="34"/>
      <c r="BTA10" s="34"/>
      <c r="BTB10" s="34"/>
      <c r="BTC10" s="34"/>
      <c r="BTD10" s="34"/>
      <c r="BTE10" s="34"/>
      <c r="BTF10" s="34"/>
      <c r="BTG10" s="34"/>
      <c r="BTH10" s="34"/>
      <c r="BTI10" s="34"/>
      <c r="BTJ10" s="34"/>
      <c r="BTK10" s="34"/>
      <c r="BTL10" s="34"/>
      <c r="BTM10" s="34"/>
      <c r="BTN10" s="34"/>
      <c r="BTO10" s="34"/>
      <c r="BTP10" s="34"/>
      <c r="BTQ10" s="34"/>
      <c r="BTR10" s="34"/>
      <c r="BTS10" s="34"/>
      <c r="BTT10" s="34"/>
      <c r="BTU10" s="34"/>
      <c r="BTV10" s="34"/>
      <c r="BTW10" s="34"/>
      <c r="BTX10" s="34"/>
      <c r="BTY10" s="34"/>
      <c r="BTZ10" s="34"/>
      <c r="BUA10" s="34"/>
      <c r="BUB10" s="34"/>
      <c r="BUC10" s="34"/>
      <c r="BUD10" s="34"/>
      <c r="BUE10" s="34"/>
      <c r="BUF10" s="34"/>
      <c r="BUG10" s="34"/>
      <c r="BUH10" s="34"/>
      <c r="BUI10" s="34"/>
      <c r="BUJ10" s="34"/>
      <c r="BUK10" s="34"/>
      <c r="BUL10" s="34"/>
      <c r="BUM10" s="34"/>
      <c r="BUN10" s="34"/>
      <c r="BUO10" s="34"/>
      <c r="BUP10" s="34"/>
      <c r="BUQ10" s="34"/>
      <c r="BUR10" s="34"/>
      <c r="BUS10" s="34"/>
      <c r="BUT10" s="34"/>
      <c r="BUU10" s="34"/>
      <c r="BUV10" s="34"/>
      <c r="BUW10" s="34"/>
      <c r="BUX10" s="34"/>
      <c r="BUY10" s="34"/>
      <c r="BUZ10" s="34"/>
      <c r="BVA10" s="34"/>
      <c r="BVB10" s="34"/>
      <c r="BVC10" s="34"/>
      <c r="BVD10" s="34"/>
      <c r="BVE10" s="34"/>
      <c r="BVF10" s="34"/>
      <c r="BVG10" s="34"/>
      <c r="BVH10" s="34"/>
      <c r="BVI10" s="34"/>
      <c r="BVJ10" s="34"/>
      <c r="BVK10" s="34"/>
      <c r="BVL10" s="34"/>
      <c r="BVM10" s="34"/>
      <c r="BVN10" s="34"/>
      <c r="BVO10" s="34"/>
      <c r="BVP10" s="34"/>
      <c r="BVQ10" s="34"/>
      <c r="BVR10" s="34"/>
      <c r="BVS10" s="34"/>
      <c r="BVT10" s="34"/>
      <c r="BVU10" s="34"/>
      <c r="BVV10" s="34"/>
      <c r="BVW10" s="34"/>
      <c r="BVX10" s="34"/>
      <c r="BVY10" s="34"/>
      <c r="BVZ10" s="34"/>
      <c r="BWA10" s="34"/>
      <c r="BWB10" s="34"/>
      <c r="BWC10" s="34"/>
      <c r="BWD10" s="34"/>
      <c r="BWE10" s="34"/>
      <c r="BWF10" s="34"/>
      <c r="BWG10" s="34"/>
      <c r="BWH10" s="34"/>
      <c r="BWI10" s="34"/>
      <c r="BWJ10" s="34"/>
      <c r="BWK10" s="34"/>
      <c r="BWL10" s="34"/>
      <c r="BWM10" s="34"/>
      <c r="BWN10" s="34"/>
      <c r="BWO10" s="34"/>
      <c r="BWP10" s="34"/>
      <c r="BWQ10" s="34"/>
      <c r="BWR10" s="34"/>
      <c r="BWS10" s="34"/>
      <c r="BWT10" s="34"/>
      <c r="BWU10" s="34"/>
      <c r="BWV10" s="34"/>
      <c r="BWW10" s="34"/>
      <c r="BWX10" s="34"/>
      <c r="BWY10" s="34"/>
      <c r="BWZ10" s="34"/>
      <c r="BXA10" s="34"/>
      <c r="BXB10" s="34"/>
      <c r="BXC10" s="34"/>
      <c r="BXD10" s="34"/>
      <c r="BXE10" s="34"/>
      <c r="BXF10" s="34"/>
      <c r="BXG10" s="34"/>
      <c r="BXH10" s="34"/>
      <c r="BXI10" s="34"/>
      <c r="BXJ10" s="34"/>
      <c r="BXK10" s="34"/>
      <c r="BXL10" s="34"/>
      <c r="BXM10" s="34"/>
      <c r="BXN10" s="34"/>
      <c r="BXO10" s="34"/>
      <c r="BXP10" s="34"/>
      <c r="BXQ10" s="34"/>
      <c r="BXR10" s="34"/>
      <c r="BXS10" s="34"/>
      <c r="BXT10" s="34"/>
      <c r="BXU10" s="34"/>
      <c r="BXV10" s="34"/>
      <c r="BXW10" s="34"/>
      <c r="BXX10" s="34"/>
      <c r="BXY10" s="34"/>
      <c r="BXZ10" s="34"/>
      <c r="BYA10" s="34"/>
      <c r="BYB10" s="34"/>
      <c r="BYC10" s="34"/>
      <c r="BYD10" s="34"/>
      <c r="BYE10" s="34"/>
      <c r="BYF10" s="34"/>
      <c r="BYG10" s="34"/>
      <c r="BYH10" s="34"/>
      <c r="BYI10" s="34"/>
      <c r="BYJ10" s="34"/>
      <c r="BYK10" s="34"/>
      <c r="BYL10" s="34"/>
      <c r="BYM10" s="34"/>
      <c r="BYN10" s="34"/>
      <c r="BYO10" s="34"/>
      <c r="BYP10" s="34"/>
      <c r="BYQ10" s="34"/>
      <c r="BYR10" s="34"/>
      <c r="BYS10" s="34"/>
      <c r="BYT10" s="34"/>
      <c r="BYU10" s="34"/>
      <c r="BYV10" s="34"/>
      <c r="BYW10" s="34"/>
      <c r="BYX10" s="34"/>
      <c r="BYY10" s="34"/>
      <c r="BYZ10" s="34"/>
      <c r="BZA10" s="34"/>
      <c r="BZB10" s="34"/>
      <c r="BZC10" s="34"/>
      <c r="BZD10" s="34"/>
      <c r="BZE10" s="34"/>
      <c r="BZF10" s="34"/>
      <c r="BZG10" s="34"/>
      <c r="BZH10" s="34"/>
      <c r="BZI10" s="34"/>
      <c r="BZJ10" s="34"/>
      <c r="BZK10" s="34"/>
      <c r="BZL10" s="34"/>
      <c r="BZM10" s="34"/>
      <c r="BZN10" s="34"/>
      <c r="BZO10" s="34"/>
      <c r="BZP10" s="34"/>
      <c r="BZQ10" s="34"/>
      <c r="BZR10" s="34"/>
      <c r="BZS10" s="34"/>
      <c r="BZT10" s="34"/>
      <c r="BZU10" s="34"/>
      <c r="BZV10" s="34"/>
      <c r="BZW10" s="34"/>
      <c r="BZX10" s="34"/>
      <c r="BZY10" s="34"/>
      <c r="BZZ10" s="34"/>
      <c r="CAA10" s="34"/>
      <c r="CAB10" s="34"/>
      <c r="CAC10" s="34"/>
      <c r="CAD10" s="34"/>
      <c r="CAE10" s="34"/>
      <c r="CAF10" s="34"/>
      <c r="CAG10" s="34"/>
      <c r="CAH10" s="34"/>
      <c r="CAI10" s="34"/>
      <c r="CAJ10" s="34"/>
      <c r="CAK10" s="34"/>
      <c r="CAL10" s="34"/>
      <c r="CAM10" s="34"/>
      <c r="CAN10" s="34"/>
      <c r="CAO10" s="34"/>
      <c r="CAP10" s="34"/>
      <c r="CAQ10" s="34"/>
      <c r="CAR10" s="34"/>
      <c r="CAS10" s="34"/>
      <c r="CAT10" s="34"/>
      <c r="CAU10" s="34"/>
      <c r="CAV10" s="34"/>
      <c r="CAW10" s="34"/>
      <c r="CAX10" s="34"/>
      <c r="CAY10" s="34"/>
      <c r="CAZ10" s="34"/>
      <c r="CBA10" s="34"/>
      <c r="CBB10" s="34"/>
      <c r="CBC10" s="34"/>
      <c r="CBD10" s="34"/>
      <c r="CBE10" s="34"/>
      <c r="CBF10" s="34"/>
      <c r="CBG10" s="34"/>
      <c r="CBH10" s="34"/>
      <c r="CBI10" s="34"/>
      <c r="CBJ10" s="34"/>
      <c r="CBK10" s="34"/>
      <c r="CBL10" s="34"/>
      <c r="CBM10" s="34"/>
      <c r="CBN10" s="34"/>
      <c r="CBO10" s="34"/>
      <c r="CBP10" s="34"/>
      <c r="CBQ10" s="34"/>
      <c r="CBR10" s="34"/>
      <c r="CBS10" s="34"/>
      <c r="CBT10" s="34"/>
      <c r="CBU10" s="34"/>
      <c r="CBV10" s="34"/>
      <c r="CBW10" s="34"/>
      <c r="CBX10" s="34"/>
      <c r="CBY10" s="34"/>
      <c r="CBZ10" s="34"/>
      <c r="CCA10" s="34"/>
      <c r="CCB10" s="34"/>
      <c r="CCC10" s="34"/>
      <c r="CCD10" s="34"/>
      <c r="CCE10" s="34"/>
      <c r="CCF10" s="34"/>
      <c r="CCG10" s="34"/>
      <c r="CCH10" s="34"/>
      <c r="CCI10" s="34"/>
      <c r="CCJ10" s="34"/>
      <c r="CCK10" s="34"/>
      <c r="CCL10" s="34"/>
      <c r="CCM10" s="34"/>
      <c r="CCN10" s="34"/>
      <c r="CCO10" s="34"/>
      <c r="CCP10" s="34"/>
      <c r="CCQ10" s="34"/>
      <c r="CCR10" s="34"/>
      <c r="CCS10" s="34"/>
      <c r="CCT10" s="34"/>
      <c r="CCU10" s="34"/>
      <c r="CCV10" s="34"/>
      <c r="CCW10" s="34"/>
      <c r="CCX10" s="34"/>
      <c r="CCY10" s="34"/>
      <c r="CCZ10" s="34"/>
      <c r="CDA10" s="34"/>
      <c r="CDB10" s="34"/>
      <c r="CDC10" s="34"/>
      <c r="CDD10" s="34"/>
      <c r="CDE10" s="34"/>
      <c r="CDF10" s="34"/>
      <c r="CDG10" s="34"/>
      <c r="CDH10" s="34"/>
      <c r="CDI10" s="34"/>
      <c r="CDJ10" s="34"/>
      <c r="CDK10" s="34"/>
      <c r="CDL10" s="34"/>
      <c r="CDM10" s="34"/>
      <c r="CDN10" s="34"/>
      <c r="CDO10" s="34"/>
      <c r="CDP10" s="34"/>
      <c r="CDQ10" s="34"/>
      <c r="CDR10" s="34"/>
      <c r="CDS10" s="34"/>
      <c r="CDT10" s="34"/>
      <c r="CDU10" s="34"/>
      <c r="CDV10" s="34"/>
      <c r="CDW10" s="34"/>
      <c r="CDX10" s="34"/>
      <c r="CDY10" s="34"/>
      <c r="CDZ10" s="34"/>
      <c r="CEA10" s="34"/>
      <c r="CEB10" s="34"/>
      <c r="CEC10" s="34"/>
      <c r="CED10" s="34"/>
      <c r="CEE10" s="34"/>
      <c r="CEF10" s="34"/>
      <c r="CEG10" s="34"/>
      <c r="CEH10" s="34"/>
      <c r="CEI10" s="34"/>
      <c r="CEJ10" s="34"/>
      <c r="CEK10" s="34"/>
      <c r="CEL10" s="34"/>
      <c r="CEM10" s="34"/>
      <c r="CEN10" s="34"/>
      <c r="CEO10" s="34"/>
      <c r="CEP10" s="34"/>
      <c r="CEQ10" s="34"/>
      <c r="CER10" s="34"/>
      <c r="CES10" s="34"/>
      <c r="CET10" s="34"/>
      <c r="CEU10" s="34"/>
      <c r="CEV10" s="34"/>
      <c r="CEW10" s="34"/>
      <c r="CEX10" s="34"/>
      <c r="CEY10" s="34"/>
      <c r="CEZ10" s="34"/>
      <c r="CFA10" s="34"/>
      <c r="CFB10" s="34"/>
      <c r="CFC10" s="34"/>
      <c r="CFD10" s="34"/>
      <c r="CFE10" s="34"/>
      <c r="CFF10" s="34"/>
      <c r="CFG10" s="34"/>
      <c r="CFH10" s="34"/>
      <c r="CFI10" s="34"/>
      <c r="CFJ10" s="34"/>
      <c r="CFK10" s="34"/>
      <c r="CFL10" s="34"/>
      <c r="CFM10" s="34"/>
      <c r="CFN10" s="34"/>
      <c r="CFO10" s="34"/>
      <c r="CFP10" s="34"/>
      <c r="CFQ10" s="34"/>
      <c r="CFR10" s="34"/>
      <c r="CFS10" s="34"/>
      <c r="CFT10" s="34"/>
      <c r="CFU10" s="34"/>
      <c r="CFV10" s="34"/>
      <c r="CFW10" s="34"/>
      <c r="CFX10" s="34"/>
      <c r="CFY10" s="34"/>
      <c r="CFZ10" s="34"/>
      <c r="CGA10" s="34"/>
      <c r="CGB10" s="34"/>
      <c r="CGC10" s="34"/>
      <c r="CGD10" s="34"/>
      <c r="CGE10" s="34"/>
      <c r="CGF10" s="34"/>
      <c r="CGG10" s="34"/>
      <c r="CGH10" s="34"/>
      <c r="CGI10" s="34"/>
      <c r="CGJ10" s="34"/>
      <c r="CGK10" s="34"/>
      <c r="CGL10" s="34"/>
      <c r="CGM10" s="34"/>
      <c r="CGN10" s="34"/>
      <c r="CGO10" s="34"/>
      <c r="CGP10" s="34"/>
      <c r="CGQ10" s="34"/>
      <c r="CGR10" s="34"/>
      <c r="CGS10" s="34"/>
      <c r="CGT10" s="34"/>
      <c r="CGU10" s="34"/>
      <c r="CGV10" s="34"/>
      <c r="CGW10" s="34"/>
      <c r="CGX10" s="34"/>
      <c r="CGY10" s="34"/>
      <c r="CGZ10" s="34"/>
      <c r="CHA10" s="34"/>
      <c r="CHB10" s="34"/>
      <c r="CHC10" s="34"/>
      <c r="CHD10" s="34"/>
      <c r="CHE10" s="34"/>
      <c r="CHF10" s="34"/>
      <c r="CHG10" s="34"/>
      <c r="CHH10" s="34"/>
      <c r="CHI10" s="34"/>
      <c r="CHJ10" s="34"/>
      <c r="CHK10" s="34"/>
      <c r="CHL10" s="34"/>
      <c r="CHM10" s="34"/>
      <c r="CHN10" s="34"/>
      <c r="CHO10" s="34"/>
      <c r="CHP10" s="34"/>
      <c r="CHQ10" s="34"/>
      <c r="CHR10" s="34"/>
      <c r="CHS10" s="34"/>
      <c r="CHT10" s="34"/>
      <c r="CHU10" s="34"/>
      <c r="CHV10" s="34"/>
      <c r="CHW10" s="34"/>
      <c r="CHX10" s="34"/>
      <c r="CHY10" s="34"/>
      <c r="CHZ10" s="34"/>
      <c r="CIA10" s="34"/>
      <c r="CIB10" s="34"/>
      <c r="CIC10" s="34"/>
      <c r="CID10" s="34"/>
      <c r="CIE10" s="34"/>
      <c r="CIF10" s="34"/>
      <c r="CIG10" s="34"/>
      <c r="CIH10" s="34"/>
      <c r="CII10" s="34"/>
      <c r="CIJ10" s="34"/>
      <c r="CIK10" s="34"/>
      <c r="CIL10" s="34"/>
      <c r="CIM10" s="34"/>
      <c r="CIN10" s="34"/>
      <c r="CIO10" s="34"/>
      <c r="CIP10" s="34"/>
      <c r="CIQ10" s="34"/>
      <c r="CIR10" s="34"/>
      <c r="CIS10" s="34"/>
      <c r="CIT10" s="34"/>
      <c r="CIU10" s="34"/>
      <c r="CIV10" s="34"/>
      <c r="CIW10" s="34"/>
      <c r="CIX10" s="34"/>
      <c r="CIY10" s="34"/>
      <c r="CIZ10" s="34"/>
      <c r="CJA10" s="34"/>
      <c r="CJB10" s="34"/>
      <c r="CJC10" s="34"/>
      <c r="CJD10" s="34"/>
      <c r="CJE10" s="34"/>
      <c r="CJF10" s="34"/>
      <c r="CJG10" s="34"/>
      <c r="CJH10" s="34"/>
      <c r="CJI10" s="34"/>
      <c r="CJJ10" s="34"/>
      <c r="CJK10" s="34"/>
      <c r="CJL10" s="34"/>
      <c r="CJM10" s="34"/>
      <c r="CJN10" s="34"/>
      <c r="CJO10" s="34"/>
      <c r="CJP10" s="34"/>
      <c r="CJQ10" s="34"/>
      <c r="CJR10" s="34"/>
      <c r="CJS10" s="34"/>
      <c r="CJT10" s="34"/>
      <c r="CJU10" s="34"/>
      <c r="CJV10" s="34"/>
      <c r="CJW10" s="34"/>
      <c r="CJX10" s="34"/>
      <c r="CJY10" s="34"/>
      <c r="CJZ10" s="34"/>
      <c r="CKA10" s="34"/>
      <c r="CKB10" s="34"/>
      <c r="CKC10" s="34"/>
      <c r="CKD10" s="34"/>
      <c r="CKE10" s="34"/>
      <c r="CKF10" s="34"/>
      <c r="CKG10" s="34"/>
      <c r="CKH10" s="34"/>
      <c r="CKI10" s="34"/>
      <c r="CKJ10" s="34"/>
      <c r="CKK10" s="34"/>
      <c r="CKL10" s="34"/>
      <c r="CKM10" s="34"/>
      <c r="CKN10" s="34"/>
      <c r="CKO10" s="34"/>
      <c r="CKP10" s="34"/>
      <c r="CKQ10" s="34"/>
      <c r="CKR10" s="34"/>
      <c r="CKS10" s="34"/>
      <c r="CKT10" s="34"/>
      <c r="CKU10" s="34"/>
      <c r="CKV10" s="34"/>
      <c r="CKW10" s="34"/>
      <c r="CKX10" s="34"/>
      <c r="CKY10" s="34"/>
      <c r="CKZ10" s="34"/>
      <c r="CLA10" s="34"/>
      <c r="CLB10" s="34"/>
      <c r="CLC10" s="34"/>
      <c r="CLD10" s="34"/>
      <c r="CLE10" s="34"/>
      <c r="CLF10" s="34"/>
      <c r="CLG10" s="34"/>
      <c r="CLH10" s="34"/>
      <c r="CLI10" s="34"/>
      <c r="CLJ10" s="34"/>
      <c r="CLK10" s="34"/>
      <c r="CLL10" s="34"/>
      <c r="CLM10" s="34"/>
      <c r="CLN10" s="34"/>
      <c r="CLO10" s="34"/>
      <c r="CLP10" s="34"/>
      <c r="CLQ10" s="34"/>
      <c r="CLR10" s="34"/>
      <c r="CLS10" s="34"/>
      <c r="CLT10" s="34"/>
      <c r="CLU10" s="34"/>
      <c r="CLV10" s="34"/>
      <c r="CLW10" s="34"/>
      <c r="CLX10" s="34"/>
      <c r="CLY10" s="34"/>
      <c r="CLZ10" s="34"/>
      <c r="CMA10" s="34"/>
      <c r="CMB10" s="34"/>
      <c r="CMC10" s="34"/>
      <c r="CMD10" s="34"/>
      <c r="CME10" s="34"/>
      <c r="CMF10" s="34"/>
      <c r="CMG10" s="34"/>
      <c r="CMH10" s="34"/>
      <c r="CMI10" s="34"/>
      <c r="CMJ10" s="34"/>
      <c r="CMK10" s="34"/>
      <c r="CML10" s="34"/>
      <c r="CMM10" s="34"/>
      <c r="CMN10" s="34"/>
      <c r="CMO10" s="34"/>
      <c r="CMP10" s="34"/>
      <c r="CMQ10" s="34"/>
      <c r="CMR10" s="34"/>
      <c r="CMS10" s="34"/>
      <c r="CMT10" s="34"/>
      <c r="CMU10" s="34"/>
      <c r="CMV10" s="34"/>
      <c r="CMW10" s="34"/>
      <c r="CMX10" s="34"/>
      <c r="CMY10" s="34"/>
      <c r="CMZ10" s="34"/>
      <c r="CNA10" s="34"/>
      <c r="CNB10" s="34"/>
      <c r="CNC10" s="34"/>
      <c r="CND10" s="34"/>
      <c r="CNE10" s="34"/>
      <c r="CNF10" s="34"/>
      <c r="CNG10" s="34"/>
      <c r="CNH10" s="34"/>
      <c r="CNI10" s="34"/>
      <c r="CNJ10" s="34"/>
      <c r="CNK10" s="34"/>
      <c r="CNL10" s="34"/>
      <c r="CNM10" s="34"/>
      <c r="CNN10" s="34"/>
      <c r="CNO10" s="34"/>
      <c r="CNP10" s="34"/>
      <c r="CNQ10" s="34"/>
      <c r="CNR10" s="34"/>
      <c r="CNS10" s="34"/>
      <c r="CNT10" s="34"/>
      <c r="CNU10" s="34"/>
      <c r="CNV10" s="34"/>
      <c r="CNW10" s="34"/>
      <c r="CNX10" s="34"/>
      <c r="CNY10" s="34"/>
      <c r="CNZ10" s="34"/>
      <c r="COA10" s="34"/>
      <c r="COB10" s="34"/>
      <c r="COC10" s="34"/>
      <c r="COD10" s="34"/>
      <c r="COE10" s="34"/>
      <c r="COF10" s="34"/>
      <c r="COG10" s="34"/>
      <c r="COH10" s="34"/>
      <c r="COI10" s="34"/>
      <c r="COJ10" s="34"/>
      <c r="COK10" s="34"/>
      <c r="COL10" s="34"/>
      <c r="COM10" s="34"/>
      <c r="CON10" s="34"/>
      <c r="COO10" s="34"/>
      <c r="COP10" s="34"/>
      <c r="COQ10" s="34"/>
      <c r="COR10" s="34"/>
      <c r="COS10" s="34"/>
      <c r="COT10" s="34"/>
      <c r="COU10" s="34"/>
      <c r="COV10" s="34"/>
      <c r="COW10" s="34"/>
      <c r="COX10" s="34"/>
      <c r="COY10" s="34"/>
      <c r="COZ10" s="34"/>
      <c r="CPA10" s="34"/>
      <c r="CPB10" s="34"/>
      <c r="CPC10" s="34"/>
      <c r="CPD10" s="34"/>
      <c r="CPE10" s="34"/>
      <c r="CPF10" s="34"/>
      <c r="CPG10" s="34"/>
      <c r="CPH10" s="34"/>
      <c r="CPI10" s="34"/>
      <c r="CPJ10" s="34"/>
      <c r="CPK10" s="34"/>
      <c r="CPL10" s="34"/>
      <c r="CPM10" s="34"/>
      <c r="CPN10" s="34"/>
      <c r="CPO10" s="34"/>
      <c r="CPP10" s="34"/>
      <c r="CPQ10" s="34"/>
      <c r="CPR10" s="34"/>
      <c r="CPS10" s="34"/>
      <c r="CPT10" s="34"/>
      <c r="CPU10" s="34"/>
      <c r="CPV10" s="34"/>
      <c r="CPW10" s="34"/>
      <c r="CPX10" s="34"/>
      <c r="CPY10" s="34"/>
      <c r="CPZ10" s="34"/>
      <c r="CQA10" s="34"/>
      <c r="CQB10" s="34"/>
      <c r="CQC10" s="34"/>
      <c r="CQD10" s="34"/>
      <c r="CQE10" s="34"/>
      <c r="CQF10" s="34"/>
      <c r="CQG10" s="34"/>
      <c r="CQH10" s="34"/>
      <c r="CQI10" s="34"/>
      <c r="CQJ10" s="34"/>
      <c r="CQK10" s="34"/>
      <c r="CQL10" s="34"/>
      <c r="CQM10" s="34"/>
      <c r="CQN10" s="34"/>
      <c r="CQO10" s="34"/>
      <c r="CQP10" s="34"/>
      <c r="CQQ10" s="34"/>
      <c r="CQR10" s="34"/>
      <c r="CQS10" s="34"/>
      <c r="CQT10" s="34"/>
      <c r="CQU10" s="34"/>
      <c r="CQV10" s="34"/>
      <c r="CQW10" s="34"/>
      <c r="CQX10" s="34"/>
      <c r="CQY10" s="34"/>
      <c r="CQZ10" s="34"/>
      <c r="CRA10" s="34"/>
      <c r="CRB10" s="34"/>
      <c r="CRC10" s="34"/>
      <c r="CRD10" s="34"/>
      <c r="CRE10" s="34"/>
      <c r="CRF10" s="34"/>
      <c r="CRG10" s="34"/>
      <c r="CRH10" s="34"/>
      <c r="CRI10" s="34"/>
      <c r="CRJ10" s="34"/>
      <c r="CRK10" s="34"/>
      <c r="CRL10" s="34"/>
      <c r="CRM10" s="34"/>
      <c r="CRN10" s="34"/>
      <c r="CRO10" s="34"/>
      <c r="CRP10" s="34"/>
      <c r="CRQ10" s="34"/>
      <c r="CRR10" s="34"/>
      <c r="CRS10" s="34"/>
      <c r="CRT10" s="34"/>
      <c r="CRU10" s="34"/>
      <c r="CRV10" s="34"/>
      <c r="CRW10" s="34"/>
      <c r="CRX10" s="34"/>
      <c r="CRY10" s="34"/>
      <c r="CRZ10" s="34"/>
      <c r="CSA10" s="34"/>
      <c r="CSB10" s="34"/>
      <c r="CSC10" s="34"/>
      <c r="CSD10" s="34"/>
      <c r="CSE10" s="34"/>
      <c r="CSF10" s="34"/>
      <c r="CSG10" s="34"/>
      <c r="CSH10" s="34"/>
      <c r="CSI10" s="34"/>
      <c r="CSJ10" s="34"/>
      <c r="CSK10" s="34"/>
      <c r="CSL10" s="34"/>
      <c r="CSM10" s="34"/>
      <c r="CSN10" s="34"/>
      <c r="CSO10" s="34"/>
      <c r="CSP10" s="34"/>
      <c r="CSQ10" s="34"/>
      <c r="CSR10" s="34"/>
      <c r="CSS10" s="34"/>
      <c r="CST10" s="34"/>
      <c r="CSU10" s="34"/>
      <c r="CSV10" s="34"/>
      <c r="CSW10" s="34"/>
      <c r="CSX10" s="34"/>
      <c r="CSY10" s="34"/>
      <c r="CSZ10" s="34"/>
      <c r="CTA10" s="34"/>
      <c r="CTB10" s="34"/>
      <c r="CTC10" s="34"/>
      <c r="CTD10" s="34"/>
      <c r="CTE10" s="34"/>
      <c r="CTF10" s="34"/>
      <c r="CTG10" s="34"/>
      <c r="CTH10" s="34"/>
      <c r="CTI10" s="34"/>
      <c r="CTJ10" s="34"/>
      <c r="CTK10" s="34"/>
      <c r="CTL10" s="34"/>
      <c r="CTM10" s="34"/>
      <c r="CTN10" s="34"/>
      <c r="CTO10" s="34"/>
      <c r="CTP10" s="34"/>
      <c r="CTQ10" s="34"/>
      <c r="CTR10" s="34"/>
      <c r="CTS10" s="34"/>
      <c r="CTT10" s="34"/>
      <c r="CTU10" s="34"/>
      <c r="CTV10" s="34"/>
      <c r="CTW10" s="34"/>
      <c r="CTX10" s="34"/>
      <c r="CTY10" s="34"/>
      <c r="CTZ10" s="34"/>
      <c r="CUA10" s="34"/>
      <c r="CUB10" s="34"/>
      <c r="CUC10" s="34"/>
      <c r="CUD10" s="34"/>
      <c r="CUE10" s="34"/>
      <c r="CUF10" s="34"/>
      <c r="CUG10" s="34"/>
      <c r="CUH10" s="34"/>
      <c r="CUI10" s="34"/>
      <c r="CUJ10" s="34"/>
      <c r="CUK10" s="34"/>
      <c r="CUL10" s="34"/>
      <c r="CUM10" s="34"/>
      <c r="CUN10" s="34"/>
      <c r="CUO10" s="34"/>
      <c r="CUP10" s="34"/>
      <c r="CUQ10" s="34"/>
      <c r="CUR10" s="34"/>
      <c r="CUS10" s="34"/>
      <c r="CUT10" s="34"/>
      <c r="CUU10" s="34"/>
      <c r="CUV10" s="34"/>
      <c r="CUW10" s="34"/>
      <c r="CUX10" s="34"/>
      <c r="CUY10" s="34"/>
      <c r="CUZ10" s="34"/>
      <c r="CVA10" s="34"/>
      <c r="CVB10" s="34"/>
      <c r="CVC10" s="34"/>
      <c r="CVD10" s="34"/>
      <c r="CVE10" s="34"/>
      <c r="CVF10" s="34"/>
      <c r="CVG10" s="34"/>
      <c r="CVH10" s="34"/>
      <c r="CVI10" s="34"/>
      <c r="CVJ10" s="34"/>
      <c r="CVK10" s="34"/>
      <c r="CVL10" s="34"/>
      <c r="CVM10" s="34"/>
      <c r="CVN10" s="34"/>
      <c r="CVO10" s="34"/>
      <c r="CVP10" s="34"/>
      <c r="CVQ10" s="34"/>
      <c r="CVR10" s="34"/>
      <c r="CVS10" s="34"/>
      <c r="CVT10" s="34"/>
      <c r="CVU10" s="34"/>
      <c r="CVV10" s="34"/>
      <c r="CVW10" s="34"/>
      <c r="CVX10" s="34"/>
      <c r="CVY10" s="34"/>
      <c r="CVZ10" s="34"/>
      <c r="CWA10" s="34"/>
      <c r="CWB10" s="34"/>
      <c r="CWC10" s="34"/>
      <c r="CWD10" s="34"/>
      <c r="CWE10" s="34"/>
      <c r="CWF10" s="34"/>
      <c r="CWG10" s="34"/>
      <c r="CWH10" s="34"/>
      <c r="CWI10" s="34"/>
      <c r="CWJ10" s="34"/>
      <c r="CWK10" s="34"/>
      <c r="CWL10" s="34"/>
      <c r="CWM10" s="34"/>
      <c r="CWN10" s="34"/>
      <c r="CWO10" s="34"/>
      <c r="CWP10" s="34"/>
      <c r="CWQ10" s="34"/>
      <c r="CWR10" s="34"/>
      <c r="CWS10" s="34"/>
      <c r="CWT10" s="34"/>
      <c r="CWU10" s="34"/>
      <c r="CWV10" s="34"/>
      <c r="CWW10" s="34"/>
      <c r="CWX10" s="34"/>
      <c r="CWY10" s="34"/>
      <c r="CWZ10" s="34"/>
      <c r="CXA10" s="34"/>
      <c r="CXB10" s="34"/>
      <c r="CXC10" s="34"/>
      <c r="CXD10" s="34"/>
      <c r="CXE10" s="34"/>
      <c r="CXF10" s="34"/>
      <c r="CXG10" s="34"/>
      <c r="CXH10" s="34"/>
      <c r="CXI10" s="34"/>
      <c r="CXJ10" s="34"/>
      <c r="CXK10" s="34"/>
      <c r="CXL10" s="34"/>
      <c r="CXM10" s="34"/>
      <c r="CXN10" s="34"/>
      <c r="CXO10" s="34"/>
      <c r="CXP10" s="34"/>
      <c r="CXQ10" s="34"/>
      <c r="CXR10" s="34"/>
      <c r="CXS10" s="34"/>
      <c r="CXT10" s="34"/>
      <c r="CXU10" s="34"/>
      <c r="CXV10" s="34"/>
      <c r="CXW10" s="34"/>
      <c r="CXX10" s="34"/>
      <c r="CXY10" s="34"/>
      <c r="CXZ10" s="34"/>
      <c r="CYA10" s="34"/>
      <c r="CYB10" s="34"/>
      <c r="CYC10" s="34"/>
      <c r="CYD10" s="34"/>
      <c r="CYE10" s="34"/>
      <c r="CYF10" s="34"/>
      <c r="CYG10" s="34"/>
      <c r="CYH10" s="34"/>
      <c r="CYI10" s="34"/>
      <c r="CYJ10" s="34"/>
      <c r="CYK10" s="34"/>
      <c r="CYL10" s="34"/>
      <c r="CYM10" s="34"/>
      <c r="CYN10" s="34"/>
      <c r="CYO10" s="34"/>
      <c r="CYP10" s="34"/>
      <c r="CYQ10" s="34"/>
      <c r="CYR10" s="34"/>
      <c r="CYS10" s="34"/>
      <c r="CYT10" s="34"/>
      <c r="CYU10" s="34"/>
      <c r="CYV10" s="34"/>
      <c r="CYW10" s="34"/>
      <c r="CYX10" s="34"/>
      <c r="CYY10" s="34"/>
      <c r="CYZ10" s="34"/>
      <c r="CZA10" s="34"/>
      <c r="CZB10" s="34"/>
      <c r="CZC10" s="34"/>
      <c r="CZD10" s="34"/>
      <c r="CZE10" s="34"/>
      <c r="CZF10" s="34"/>
      <c r="CZG10" s="34"/>
      <c r="CZH10" s="34"/>
      <c r="CZI10" s="34"/>
      <c r="CZJ10" s="34"/>
      <c r="CZK10" s="34"/>
      <c r="CZL10" s="34"/>
      <c r="CZM10" s="34"/>
      <c r="CZN10" s="34"/>
      <c r="CZO10" s="34"/>
      <c r="CZP10" s="34"/>
      <c r="CZQ10" s="34"/>
      <c r="CZR10" s="34"/>
      <c r="CZS10" s="34"/>
      <c r="CZT10" s="34"/>
      <c r="CZU10" s="34"/>
      <c r="CZV10" s="34"/>
      <c r="CZW10" s="34"/>
      <c r="CZX10" s="34"/>
      <c r="CZY10" s="34"/>
      <c r="CZZ10" s="34"/>
      <c r="DAA10" s="34"/>
      <c r="DAB10" s="34"/>
      <c r="DAC10" s="34"/>
      <c r="DAD10" s="34"/>
      <c r="DAE10" s="34"/>
      <c r="DAF10" s="34"/>
      <c r="DAG10" s="34"/>
      <c r="DAH10" s="34"/>
      <c r="DAI10" s="34"/>
      <c r="DAJ10" s="34"/>
      <c r="DAK10" s="34"/>
      <c r="DAL10" s="34"/>
      <c r="DAM10" s="34"/>
      <c r="DAN10" s="34"/>
      <c r="DAO10" s="34"/>
      <c r="DAP10" s="34"/>
      <c r="DAQ10" s="34"/>
      <c r="DAR10" s="34"/>
      <c r="DAS10" s="34"/>
      <c r="DAT10" s="34"/>
      <c r="DAU10" s="34"/>
      <c r="DAV10" s="34"/>
      <c r="DAW10" s="34"/>
      <c r="DAX10" s="34"/>
      <c r="DAY10" s="34"/>
      <c r="DAZ10" s="34"/>
      <c r="DBA10" s="34"/>
      <c r="DBB10" s="34"/>
      <c r="DBC10" s="34"/>
      <c r="DBD10" s="34"/>
      <c r="DBE10" s="34"/>
      <c r="DBF10" s="34"/>
      <c r="DBG10" s="34"/>
      <c r="DBH10" s="34"/>
      <c r="DBI10" s="34"/>
      <c r="DBJ10" s="34"/>
      <c r="DBK10" s="34"/>
      <c r="DBL10" s="34"/>
      <c r="DBM10" s="34"/>
      <c r="DBN10" s="34"/>
      <c r="DBO10" s="34"/>
      <c r="DBP10" s="34"/>
      <c r="DBQ10" s="34"/>
      <c r="DBR10" s="34"/>
      <c r="DBS10" s="34"/>
      <c r="DBT10" s="34"/>
      <c r="DBU10" s="34"/>
      <c r="DBV10" s="34"/>
      <c r="DBW10" s="34"/>
      <c r="DBX10" s="34"/>
      <c r="DBY10" s="34"/>
      <c r="DBZ10" s="34"/>
      <c r="DCA10" s="34"/>
      <c r="DCB10" s="34"/>
      <c r="DCC10" s="34"/>
      <c r="DCD10" s="34"/>
      <c r="DCE10" s="34"/>
      <c r="DCF10" s="34"/>
      <c r="DCG10" s="34"/>
      <c r="DCH10" s="34"/>
      <c r="DCI10" s="34"/>
      <c r="DCJ10" s="34"/>
      <c r="DCK10" s="34"/>
      <c r="DCL10" s="34"/>
      <c r="DCM10" s="34"/>
      <c r="DCN10" s="34"/>
      <c r="DCO10" s="34"/>
      <c r="DCP10" s="34"/>
      <c r="DCQ10" s="34"/>
      <c r="DCR10" s="34"/>
      <c r="DCS10" s="34"/>
      <c r="DCT10" s="34"/>
      <c r="DCU10" s="34"/>
      <c r="DCV10" s="34"/>
      <c r="DCW10" s="34"/>
      <c r="DCX10" s="34"/>
      <c r="DCY10" s="34"/>
      <c r="DCZ10" s="34"/>
      <c r="DDA10" s="34"/>
      <c r="DDB10" s="34"/>
      <c r="DDC10" s="34"/>
      <c r="DDD10" s="34"/>
      <c r="DDE10" s="34"/>
      <c r="DDF10" s="34"/>
      <c r="DDG10" s="34"/>
      <c r="DDH10" s="34"/>
      <c r="DDI10" s="34"/>
      <c r="DDJ10" s="34"/>
      <c r="DDK10" s="34"/>
      <c r="DDL10" s="34"/>
      <c r="DDM10" s="34"/>
      <c r="DDN10" s="34"/>
      <c r="DDO10" s="34"/>
      <c r="DDP10" s="34"/>
      <c r="DDQ10" s="34"/>
      <c r="DDR10" s="34"/>
      <c r="DDS10" s="34"/>
      <c r="DDT10" s="34"/>
      <c r="DDU10" s="34"/>
      <c r="DDV10" s="34"/>
      <c r="DDW10" s="34"/>
      <c r="DDX10" s="34"/>
      <c r="DDY10" s="34"/>
      <c r="DDZ10" s="34"/>
      <c r="DEA10" s="34"/>
      <c r="DEB10" s="34"/>
      <c r="DEC10" s="34"/>
      <c r="DED10" s="34"/>
      <c r="DEE10" s="34"/>
      <c r="DEF10" s="34"/>
      <c r="DEG10" s="34"/>
      <c r="DEH10" s="34"/>
      <c r="DEI10" s="34"/>
      <c r="DEJ10" s="34"/>
      <c r="DEK10" s="34"/>
      <c r="DEL10" s="34"/>
      <c r="DEM10" s="34"/>
      <c r="DEN10" s="34"/>
      <c r="DEO10" s="34"/>
      <c r="DEP10" s="34"/>
      <c r="DEQ10" s="34"/>
      <c r="DER10" s="34"/>
      <c r="DES10" s="34"/>
      <c r="DET10" s="34"/>
      <c r="DEU10" s="34"/>
      <c r="DEV10" s="34"/>
      <c r="DEW10" s="34"/>
      <c r="DEX10" s="34"/>
      <c r="DEY10" s="34"/>
      <c r="DEZ10" s="34"/>
      <c r="DFA10" s="34"/>
      <c r="DFB10" s="34"/>
      <c r="DFC10" s="34"/>
      <c r="DFD10" s="34"/>
      <c r="DFE10" s="34"/>
      <c r="DFF10" s="34"/>
      <c r="DFG10" s="34"/>
      <c r="DFH10" s="34"/>
      <c r="DFI10" s="34"/>
      <c r="DFJ10" s="34"/>
      <c r="DFK10" s="34"/>
      <c r="DFL10" s="34"/>
      <c r="DFM10" s="34"/>
      <c r="DFN10" s="34"/>
      <c r="DFO10" s="34"/>
      <c r="DFP10" s="34"/>
      <c r="DFQ10" s="34"/>
      <c r="DFR10" s="34"/>
      <c r="DFS10" s="34"/>
      <c r="DFT10" s="34"/>
      <c r="DFU10" s="34"/>
      <c r="DFV10" s="34"/>
      <c r="DFW10" s="34"/>
      <c r="DFX10" s="34"/>
      <c r="DFY10" s="34"/>
      <c r="DFZ10" s="34"/>
      <c r="DGA10" s="34"/>
      <c r="DGB10" s="34"/>
      <c r="DGC10" s="34"/>
      <c r="DGD10" s="34"/>
      <c r="DGE10" s="34"/>
      <c r="DGF10" s="34"/>
      <c r="DGG10" s="34"/>
      <c r="DGH10" s="34"/>
      <c r="DGI10" s="34"/>
      <c r="DGJ10" s="34"/>
      <c r="DGK10" s="34"/>
      <c r="DGL10" s="34"/>
      <c r="DGM10" s="34"/>
      <c r="DGN10" s="34"/>
      <c r="DGO10" s="34"/>
      <c r="DGP10" s="34"/>
      <c r="DGQ10" s="34"/>
      <c r="DGR10" s="34"/>
      <c r="DGS10" s="34"/>
      <c r="DGT10" s="34"/>
      <c r="DGU10" s="34"/>
      <c r="DGV10" s="34"/>
      <c r="DGW10" s="34"/>
      <c r="DGX10" s="34"/>
      <c r="DGY10" s="34"/>
      <c r="DGZ10" s="34"/>
      <c r="DHA10" s="34"/>
      <c r="DHB10" s="34"/>
      <c r="DHC10" s="34"/>
      <c r="DHD10" s="34"/>
      <c r="DHE10" s="34"/>
      <c r="DHF10" s="34"/>
      <c r="DHG10" s="34"/>
      <c r="DHH10" s="34"/>
      <c r="DHI10" s="34"/>
      <c r="DHJ10" s="34"/>
      <c r="DHK10" s="34"/>
      <c r="DHL10" s="34"/>
      <c r="DHM10" s="34"/>
      <c r="DHN10" s="34"/>
      <c r="DHO10" s="34"/>
      <c r="DHP10" s="34"/>
      <c r="DHQ10" s="34"/>
      <c r="DHR10" s="34"/>
      <c r="DHS10" s="34"/>
      <c r="DHT10" s="34"/>
      <c r="DHU10" s="34"/>
      <c r="DHV10" s="34"/>
      <c r="DHW10" s="34"/>
      <c r="DHX10" s="34"/>
      <c r="DHY10" s="34"/>
      <c r="DHZ10" s="34"/>
      <c r="DIA10" s="34"/>
      <c r="DIB10" s="34"/>
      <c r="DIC10" s="34"/>
      <c r="DID10" s="34"/>
      <c r="DIE10" s="34"/>
      <c r="DIF10" s="34"/>
      <c r="DIG10" s="34"/>
      <c r="DIH10" s="34"/>
      <c r="DII10" s="34"/>
      <c r="DIJ10" s="34"/>
      <c r="DIK10" s="34"/>
      <c r="DIL10" s="34"/>
      <c r="DIM10" s="34"/>
      <c r="DIN10" s="34"/>
      <c r="DIO10" s="34"/>
      <c r="DIP10" s="34"/>
      <c r="DIQ10" s="34"/>
      <c r="DIR10" s="34"/>
      <c r="DIS10" s="34"/>
      <c r="DIT10" s="34"/>
      <c r="DIU10" s="34"/>
      <c r="DIV10" s="34"/>
      <c r="DIW10" s="34"/>
      <c r="DIX10" s="34"/>
      <c r="DIY10" s="34"/>
      <c r="DIZ10" s="34"/>
      <c r="DJA10" s="34"/>
      <c r="DJB10" s="34"/>
      <c r="DJC10" s="34"/>
      <c r="DJD10" s="34"/>
      <c r="DJE10" s="34"/>
      <c r="DJF10" s="34"/>
      <c r="DJG10" s="34"/>
      <c r="DJH10" s="34"/>
      <c r="DJI10" s="34"/>
      <c r="DJJ10" s="34"/>
      <c r="DJK10" s="34"/>
      <c r="DJL10" s="34"/>
      <c r="DJM10" s="34"/>
      <c r="DJN10" s="34"/>
      <c r="DJO10" s="34"/>
      <c r="DJP10" s="34"/>
      <c r="DJQ10" s="34"/>
      <c r="DJR10" s="34"/>
      <c r="DJS10" s="34"/>
      <c r="DJT10" s="34"/>
      <c r="DJU10" s="34"/>
      <c r="DJV10" s="34"/>
      <c r="DJW10" s="34"/>
      <c r="DJX10" s="34"/>
      <c r="DJY10" s="34"/>
      <c r="DJZ10" s="34"/>
      <c r="DKA10" s="34"/>
      <c r="DKB10" s="34"/>
      <c r="DKC10" s="34"/>
      <c r="DKD10" s="34"/>
      <c r="DKE10" s="34"/>
      <c r="DKF10" s="34"/>
      <c r="DKG10" s="34"/>
      <c r="DKH10" s="34"/>
      <c r="DKI10" s="34"/>
      <c r="DKJ10" s="34"/>
      <c r="DKK10" s="34"/>
      <c r="DKL10" s="34"/>
      <c r="DKM10" s="34"/>
      <c r="DKN10" s="34"/>
      <c r="DKO10" s="34"/>
      <c r="DKP10" s="34"/>
      <c r="DKQ10" s="34"/>
      <c r="DKR10" s="34"/>
      <c r="DKS10" s="34"/>
      <c r="DKT10" s="34"/>
      <c r="DKU10" s="34"/>
      <c r="DKV10" s="34"/>
      <c r="DKW10" s="34"/>
      <c r="DKX10" s="34"/>
      <c r="DKY10" s="34"/>
      <c r="DKZ10" s="34"/>
      <c r="DLA10" s="34"/>
      <c r="DLB10" s="34"/>
      <c r="DLC10" s="34"/>
      <c r="DLD10" s="34"/>
      <c r="DLE10" s="34"/>
      <c r="DLF10" s="34"/>
      <c r="DLG10" s="34"/>
      <c r="DLH10" s="34"/>
      <c r="DLI10" s="34"/>
      <c r="DLJ10" s="34"/>
      <c r="DLK10" s="34"/>
      <c r="DLL10" s="34"/>
      <c r="DLM10" s="34"/>
      <c r="DLN10" s="34"/>
      <c r="DLO10" s="34"/>
      <c r="DLP10" s="34"/>
      <c r="DLQ10" s="34"/>
      <c r="DLR10" s="34"/>
      <c r="DLS10" s="34"/>
      <c r="DLT10" s="34"/>
      <c r="DLU10" s="34"/>
      <c r="DLV10" s="34"/>
      <c r="DLW10" s="34"/>
      <c r="DLX10" s="34"/>
      <c r="DLY10" s="34"/>
      <c r="DLZ10" s="34"/>
      <c r="DMA10" s="34"/>
      <c r="DMB10" s="34"/>
      <c r="DMC10" s="34"/>
      <c r="DMD10" s="34"/>
      <c r="DME10" s="34"/>
      <c r="DMF10" s="34"/>
      <c r="DMG10" s="34"/>
      <c r="DMH10" s="34"/>
      <c r="DMI10" s="34"/>
      <c r="DMJ10" s="34"/>
      <c r="DMK10" s="34"/>
      <c r="DML10" s="34"/>
      <c r="DMM10" s="34"/>
      <c r="DMN10" s="34"/>
      <c r="DMO10" s="34"/>
      <c r="DMP10" s="34"/>
      <c r="DMQ10" s="34"/>
      <c r="DMR10" s="34"/>
      <c r="DMS10" s="34"/>
      <c r="DMT10" s="34"/>
      <c r="DMU10" s="34"/>
      <c r="DMV10" s="34"/>
      <c r="DMW10" s="34"/>
      <c r="DMX10" s="34"/>
      <c r="DMY10" s="34"/>
      <c r="DMZ10" s="34"/>
      <c r="DNA10" s="34"/>
      <c r="DNB10" s="34"/>
      <c r="DNC10" s="34"/>
      <c r="DND10" s="34"/>
      <c r="DNE10" s="34"/>
      <c r="DNF10" s="34"/>
      <c r="DNG10" s="34"/>
      <c r="DNH10" s="34"/>
      <c r="DNI10" s="34"/>
      <c r="DNJ10" s="34"/>
      <c r="DNK10" s="34"/>
      <c r="DNL10" s="34"/>
      <c r="DNM10" s="34"/>
      <c r="DNN10" s="34"/>
      <c r="DNO10" s="34"/>
      <c r="DNP10" s="34"/>
      <c r="DNQ10" s="34"/>
      <c r="DNR10" s="34"/>
      <c r="DNS10" s="34"/>
      <c r="DNT10" s="34"/>
      <c r="DNU10" s="34"/>
      <c r="DNV10" s="34"/>
      <c r="DNW10" s="34"/>
      <c r="DNX10" s="34"/>
      <c r="DNY10" s="34"/>
      <c r="DNZ10" s="34"/>
      <c r="DOA10" s="34"/>
      <c r="DOB10" s="34"/>
      <c r="DOC10" s="34"/>
      <c r="DOD10" s="34"/>
      <c r="DOE10" s="34"/>
      <c r="DOF10" s="34"/>
      <c r="DOG10" s="34"/>
      <c r="DOH10" s="34"/>
      <c r="DOI10" s="34"/>
      <c r="DOJ10" s="34"/>
      <c r="DOK10" s="34"/>
      <c r="DOL10" s="34"/>
      <c r="DOM10" s="34"/>
      <c r="DON10" s="34"/>
      <c r="DOO10" s="34"/>
      <c r="DOP10" s="34"/>
      <c r="DOQ10" s="34"/>
      <c r="DOR10" s="34"/>
      <c r="DOS10" s="34"/>
      <c r="DOT10" s="34"/>
      <c r="DOU10" s="34"/>
      <c r="DOV10" s="34"/>
      <c r="DOW10" s="34"/>
      <c r="DOX10" s="34"/>
      <c r="DOY10" s="34"/>
      <c r="DOZ10" s="34"/>
      <c r="DPA10" s="34"/>
      <c r="DPB10" s="34"/>
      <c r="DPC10" s="34"/>
      <c r="DPD10" s="34"/>
      <c r="DPE10" s="34"/>
      <c r="DPF10" s="34"/>
      <c r="DPG10" s="34"/>
      <c r="DPH10" s="34"/>
      <c r="DPI10" s="34"/>
      <c r="DPJ10" s="34"/>
      <c r="DPK10" s="34"/>
      <c r="DPL10" s="34"/>
      <c r="DPM10" s="34"/>
      <c r="DPN10" s="34"/>
      <c r="DPO10" s="34"/>
      <c r="DPP10" s="34"/>
      <c r="DPQ10" s="34"/>
      <c r="DPR10" s="34"/>
      <c r="DPS10" s="34"/>
      <c r="DPT10" s="34"/>
      <c r="DPU10" s="34"/>
      <c r="DPV10" s="34"/>
      <c r="DPW10" s="34"/>
      <c r="DPX10" s="34"/>
      <c r="DPY10" s="34"/>
      <c r="DPZ10" s="34"/>
      <c r="DQA10" s="34"/>
      <c r="DQB10" s="34"/>
      <c r="DQC10" s="34"/>
      <c r="DQD10" s="34"/>
      <c r="DQE10" s="34"/>
      <c r="DQF10" s="34"/>
      <c r="DQG10" s="34"/>
      <c r="DQH10" s="34"/>
      <c r="DQI10" s="34"/>
      <c r="DQJ10" s="34"/>
      <c r="DQK10" s="34"/>
      <c r="DQL10" s="34"/>
      <c r="DQM10" s="34"/>
      <c r="DQN10" s="34"/>
      <c r="DQO10" s="34"/>
      <c r="DQP10" s="34"/>
      <c r="DQQ10" s="34"/>
      <c r="DQR10" s="34"/>
      <c r="DQS10" s="34"/>
      <c r="DQT10" s="34"/>
      <c r="DQU10" s="34"/>
      <c r="DQV10" s="34"/>
      <c r="DQW10" s="34"/>
      <c r="DQX10" s="34"/>
      <c r="DQY10" s="34"/>
      <c r="DQZ10" s="34"/>
      <c r="DRA10" s="34"/>
      <c r="DRB10" s="34"/>
      <c r="DRC10" s="34"/>
      <c r="DRD10" s="34"/>
      <c r="DRE10" s="34"/>
      <c r="DRF10" s="34"/>
      <c r="DRG10" s="34"/>
      <c r="DRH10" s="34"/>
      <c r="DRI10" s="34"/>
      <c r="DRJ10" s="34"/>
      <c r="DRK10" s="34"/>
      <c r="DRL10" s="34"/>
      <c r="DRM10" s="34"/>
      <c r="DRN10" s="34"/>
      <c r="DRO10" s="34"/>
      <c r="DRP10" s="34"/>
      <c r="DRQ10" s="34"/>
      <c r="DRR10" s="34"/>
      <c r="DRS10" s="34"/>
      <c r="DRT10" s="34"/>
      <c r="DRU10" s="34"/>
      <c r="DRV10" s="34"/>
      <c r="DRW10" s="34"/>
      <c r="DRX10" s="34"/>
      <c r="DRY10" s="34"/>
      <c r="DRZ10" s="34"/>
      <c r="DSA10" s="34"/>
      <c r="DSB10" s="34"/>
      <c r="DSC10" s="34"/>
      <c r="DSD10" s="34"/>
      <c r="DSE10" s="34"/>
      <c r="DSF10" s="34"/>
      <c r="DSG10" s="34"/>
      <c r="DSH10" s="34"/>
      <c r="DSI10" s="34"/>
      <c r="DSJ10" s="34"/>
      <c r="DSK10" s="34"/>
      <c r="DSL10" s="34"/>
      <c r="DSM10" s="34"/>
      <c r="DSN10" s="34"/>
      <c r="DSO10" s="34"/>
      <c r="DSP10" s="34"/>
      <c r="DSQ10" s="34"/>
      <c r="DSR10" s="34"/>
      <c r="DSS10" s="34"/>
      <c r="DST10" s="34"/>
      <c r="DSU10" s="34"/>
      <c r="DSV10" s="34"/>
      <c r="DSW10" s="34"/>
      <c r="DSX10" s="34"/>
      <c r="DSY10" s="34"/>
      <c r="DSZ10" s="34"/>
      <c r="DTA10" s="34"/>
      <c r="DTB10" s="34"/>
      <c r="DTC10" s="34"/>
      <c r="DTD10" s="34"/>
      <c r="DTE10" s="34"/>
      <c r="DTF10" s="34"/>
      <c r="DTG10" s="34"/>
      <c r="DTH10" s="34"/>
      <c r="DTI10" s="34"/>
      <c r="DTJ10" s="34"/>
      <c r="DTK10" s="34"/>
      <c r="DTL10" s="34"/>
      <c r="DTM10" s="34"/>
      <c r="DTN10" s="34"/>
      <c r="DTO10" s="34"/>
      <c r="DTP10" s="34"/>
      <c r="DTQ10" s="34"/>
      <c r="DTR10" s="34"/>
      <c r="DTS10" s="34"/>
      <c r="DTT10" s="34"/>
      <c r="DTU10" s="34"/>
      <c r="DTV10" s="34"/>
      <c r="DTW10" s="34"/>
      <c r="DTX10" s="34"/>
      <c r="DTY10" s="34"/>
      <c r="DTZ10" s="34"/>
      <c r="DUA10" s="34"/>
      <c r="DUB10" s="34"/>
      <c r="DUC10" s="34"/>
      <c r="DUD10" s="34"/>
      <c r="DUE10" s="34"/>
      <c r="DUF10" s="34"/>
      <c r="DUG10" s="34"/>
      <c r="DUH10" s="34"/>
      <c r="DUI10" s="34"/>
      <c r="DUJ10" s="34"/>
      <c r="DUK10" s="34"/>
      <c r="DUL10" s="34"/>
      <c r="DUM10" s="34"/>
      <c r="DUN10" s="34"/>
      <c r="DUO10" s="34"/>
      <c r="DUP10" s="34"/>
      <c r="DUQ10" s="34"/>
      <c r="DUR10" s="34"/>
      <c r="DUS10" s="34"/>
      <c r="DUT10" s="34"/>
      <c r="DUU10" s="34"/>
      <c r="DUV10" s="34"/>
      <c r="DUW10" s="34"/>
      <c r="DUX10" s="34"/>
      <c r="DUY10" s="34"/>
      <c r="DUZ10" s="34"/>
      <c r="DVA10" s="34"/>
      <c r="DVB10" s="34"/>
      <c r="DVC10" s="34"/>
      <c r="DVD10" s="34"/>
      <c r="DVE10" s="34"/>
      <c r="DVF10" s="34"/>
      <c r="DVG10" s="34"/>
      <c r="DVH10" s="34"/>
      <c r="DVI10" s="34"/>
      <c r="DVJ10" s="34"/>
      <c r="DVK10" s="34"/>
      <c r="DVL10" s="34"/>
      <c r="DVM10" s="34"/>
      <c r="DVN10" s="34"/>
      <c r="DVO10" s="34"/>
      <c r="DVP10" s="34"/>
      <c r="DVQ10" s="34"/>
      <c r="DVR10" s="34"/>
      <c r="DVS10" s="34"/>
      <c r="DVT10" s="34"/>
      <c r="DVU10" s="34"/>
      <c r="DVV10" s="34"/>
      <c r="DVW10" s="34"/>
      <c r="DVX10" s="34"/>
      <c r="DVY10" s="34"/>
      <c r="DVZ10" s="34"/>
      <c r="DWA10" s="34"/>
      <c r="DWB10" s="34"/>
      <c r="DWC10" s="34"/>
      <c r="DWD10" s="34"/>
      <c r="DWE10" s="34"/>
      <c r="DWF10" s="34"/>
      <c r="DWG10" s="34"/>
      <c r="DWH10" s="34"/>
      <c r="DWI10" s="34"/>
      <c r="DWJ10" s="34"/>
      <c r="DWK10" s="34"/>
      <c r="DWL10" s="34"/>
      <c r="DWM10" s="34"/>
      <c r="DWN10" s="34"/>
      <c r="DWO10" s="34"/>
      <c r="DWP10" s="34"/>
      <c r="DWQ10" s="34"/>
      <c r="DWR10" s="34"/>
      <c r="DWS10" s="34"/>
      <c r="DWT10" s="34"/>
      <c r="DWU10" s="34"/>
      <c r="DWV10" s="34"/>
      <c r="DWW10" s="34"/>
      <c r="DWX10" s="34"/>
      <c r="DWY10" s="34"/>
      <c r="DWZ10" s="34"/>
      <c r="DXA10" s="34"/>
      <c r="DXB10" s="34"/>
      <c r="DXC10" s="34"/>
      <c r="DXD10" s="34"/>
      <c r="DXE10" s="34"/>
      <c r="DXF10" s="34"/>
      <c r="DXG10" s="34"/>
      <c r="DXH10" s="34"/>
      <c r="DXI10" s="34"/>
      <c r="DXJ10" s="34"/>
      <c r="DXK10" s="34"/>
      <c r="DXL10" s="34"/>
      <c r="DXM10" s="34"/>
      <c r="DXN10" s="34"/>
      <c r="DXO10" s="34"/>
      <c r="DXP10" s="34"/>
      <c r="DXQ10" s="34"/>
      <c r="DXR10" s="34"/>
      <c r="DXS10" s="34"/>
      <c r="DXT10" s="34"/>
      <c r="DXU10" s="34"/>
      <c r="DXV10" s="34"/>
      <c r="DXW10" s="34"/>
      <c r="DXX10" s="34"/>
      <c r="DXY10" s="34"/>
      <c r="DXZ10" s="34"/>
      <c r="DYA10" s="34"/>
      <c r="DYB10" s="34"/>
      <c r="DYC10" s="34"/>
      <c r="DYD10" s="34"/>
      <c r="DYE10" s="34"/>
      <c r="DYF10" s="34"/>
      <c r="DYG10" s="34"/>
      <c r="DYH10" s="34"/>
      <c r="DYI10" s="34"/>
      <c r="DYJ10" s="34"/>
      <c r="DYK10" s="34"/>
      <c r="DYL10" s="34"/>
      <c r="DYM10" s="34"/>
      <c r="DYN10" s="34"/>
      <c r="DYO10" s="34"/>
      <c r="DYP10" s="34"/>
      <c r="DYQ10" s="34"/>
      <c r="DYR10" s="34"/>
      <c r="DYS10" s="34"/>
      <c r="DYT10" s="34"/>
      <c r="DYU10" s="34"/>
      <c r="DYV10" s="34"/>
      <c r="DYW10" s="34"/>
      <c r="DYX10" s="34"/>
      <c r="DYY10" s="34"/>
      <c r="DYZ10" s="34"/>
      <c r="DZA10" s="34"/>
      <c r="DZB10" s="34"/>
      <c r="DZC10" s="34"/>
      <c r="DZD10" s="34"/>
      <c r="DZE10" s="34"/>
      <c r="DZF10" s="34"/>
      <c r="DZG10" s="34"/>
      <c r="DZH10" s="34"/>
      <c r="DZI10" s="34"/>
      <c r="DZJ10" s="34"/>
      <c r="DZK10" s="34"/>
      <c r="DZL10" s="34"/>
      <c r="DZM10" s="34"/>
      <c r="DZN10" s="34"/>
      <c r="DZO10" s="34"/>
      <c r="DZP10" s="34"/>
      <c r="DZQ10" s="34"/>
      <c r="DZR10" s="34"/>
      <c r="DZS10" s="34"/>
      <c r="DZT10" s="34"/>
      <c r="DZU10" s="34"/>
      <c r="DZV10" s="34"/>
      <c r="DZW10" s="34"/>
      <c r="DZX10" s="34"/>
      <c r="DZY10" s="34"/>
      <c r="DZZ10" s="34"/>
      <c r="EAA10" s="34"/>
      <c r="EAB10" s="34"/>
      <c r="EAC10" s="34"/>
      <c r="EAD10" s="34"/>
      <c r="EAE10" s="34"/>
      <c r="EAF10" s="34"/>
      <c r="EAG10" s="34"/>
      <c r="EAH10" s="34"/>
      <c r="EAI10" s="34"/>
      <c r="EAJ10" s="34"/>
      <c r="EAK10" s="34"/>
      <c r="EAL10" s="34"/>
      <c r="EAM10" s="34"/>
      <c r="EAN10" s="34"/>
      <c r="EAO10" s="34"/>
      <c r="EAP10" s="34"/>
      <c r="EAQ10" s="34"/>
      <c r="EAR10" s="34"/>
      <c r="EAS10" s="34"/>
      <c r="EAT10" s="34"/>
      <c r="EAU10" s="34"/>
      <c r="EAV10" s="34"/>
      <c r="EAW10" s="34"/>
      <c r="EAX10" s="34"/>
      <c r="EAY10" s="34"/>
      <c r="EAZ10" s="34"/>
      <c r="EBA10" s="34"/>
      <c r="EBB10" s="34"/>
      <c r="EBC10" s="34"/>
      <c r="EBD10" s="34"/>
      <c r="EBE10" s="34"/>
      <c r="EBF10" s="34"/>
      <c r="EBG10" s="34"/>
      <c r="EBH10" s="34"/>
      <c r="EBI10" s="34"/>
      <c r="EBJ10" s="34"/>
      <c r="EBK10" s="34"/>
      <c r="EBL10" s="34"/>
      <c r="EBM10" s="34"/>
      <c r="EBN10" s="34"/>
      <c r="EBO10" s="34"/>
      <c r="EBP10" s="34"/>
      <c r="EBQ10" s="34"/>
      <c r="EBR10" s="34"/>
      <c r="EBS10" s="34"/>
      <c r="EBT10" s="34"/>
      <c r="EBU10" s="34"/>
      <c r="EBV10" s="34"/>
      <c r="EBW10" s="34"/>
      <c r="EBX10" s="34"/>
      <c r="EBY10" s="34"/>
      <c r="EBZ10" s="34"/>
      <c r="ECA10" s="34"/>
      <c r="ECB10" s="34"/>
      <c r="ECC10" s="34"/>
      <c r="ECD10" s="34"/>
      <c r="ECE10" s="34"/>
      <c r="ECF10" s="34"/>
      <c r="ECG10" s="34"/>
      <c r="ECH10" s="34"/>
      <c r="ECI10" s="34"/>
      <c r="ECJ10" s="34"/>
      <c r="ECK10" s="34"/>
      <c r="ECL10" s="34"/>
      <c r="ECM10" s="34"/>
      <c r="ECN10" s="34"/>
      <c r="ECO10" s="34"/>
      <c r="ECP10" s="34"/>
      <c r="ECQ10" s="34"/>
      <c r="ECR10" s="34"/>
      <c r="ECS10" s="34"/>
      <c r="ECT10" s="34"/>
      <c r="ECU10" s="34"/>
      <c r="ECV10" s="34"/>
      <c r="ECW10" s="34"/>
      <c r="ECX10" s="34"/>
      <c r="ECY10" s="34"/>
      <c r="ECZ10" s="34"/>
      <c r="EDA10" s="34"/>
      <c r="EDB10" s="34"/>
      <c r="EDC10" s="34"/>
      <c r="EDD10" s="34"/>
      <c r="EDE10" s="34"/>
      <c r="EDF10" s="34"/>
      <c r="EDG10" s="34"/>
      <c r="EDH10" s="34"/>
      <c r="EDI10" s="34"/>
      <c r="EDJ10" s="34"/>
      <c r="EDK10" s="34"/>
      <c r="EDL10" s="34"/>
      <c r="EDM10" s="34"/>
      <c r="EDN10" s="34"/>
      <c r="EDO10" s="34"/>
      <c r="EDP10" s="34"/>
      <c r="EDQ10" s="34"/>
      <c r="EDR10" s="34"/>
      <c r="EDS10" s="34"/>
      <c r="EDT10" s="34"/>
      <c r="EDU10" s="34"/>
      <c r="EDV10" s="34"/>
      <c r="EDW10" s="34"/>
      <c r="EDX10" s="34"/>
      <c r="EDY10" s="34"/>
      <c r="EDZ10" s="34"/>
      <c r="EEA10" s="34"/>
      <c r="EEB10" s="34"/>
      <c r="EEC10" s="34"/>
      <c r="EED10" s="34"/>
      <c r="EEE10" s="34"/>
      <c r="EEF10" s="34"/>
      <c r="EEG10" s="34"/>
      <c r="EEH10" s="34"/>
      <c r="EEI10" s="34"/>
      <c r="EEJ10" s="34"/>
      <c r="EEK10" s="34"/>
      <c r="EEL10" s="34"/>
      <c r="EEM10" s="34"/>
      <c r="EEN10" s="34"/>
      <c r="EEO10" s="34"/>
      <c r="EEP10" s="34"/>
      <c r="EEQ10" s="34"/>
      <c r="EER10" s="34"/>
      <c r="EES10" s="34"/>
      <c r="EET10" s="34"/>
      <c r="EEU10" s="34"/>
      <c r="EEV10" s="34"/>
      <c r="EEW10" s="34"/>
      <c r="EEX10" s="34"/>
      <c r="EEY10" s="34"/>
      <c r="EEZ10" s="34"/>
      <c r="EFA10" s="34"/>
      <c r="EFB10" s="34"/>
      <c r="EFC10" s="34"/>
      <c r="EFD10" s="34"/>
      <c r="EFE10" s="34"/>
      <c r="EFF10" s="34"/>
      <c r="EFG10" s="34"/>
      <c r="EFH10" s="34"/>
      <c r="EFI10" s="34"/>
      <c r="EFJ10" s="34"/>
      <c r="EFK10" s="34"/>
      <c r="EFL10" s="34"/>
      <c r="EFM10" s="34"/>
      <c r="EFN10" s="34"/>
      <c r="EFO10" s="34"/>
      <c r="EFP10" s="34"/>
      <c r="EFQ10" s="34"/>
      <c r="EFR10" s="34"/>
      <c r="EFS10" s="34"/>
      <c r="EFT10" s="34"/>
      <c r="EFU10" s="34"/>
      <c r="EFV10" s="34"/>
      <c r="EFW10" s="34"/>
      <c r="EFX10" s="34"/>
      <c r="EFY10" s="34"/>
      <c r="EFZ10" s="34"/>
      <c r="EGA10" s="34"/>
      <c r="EGB10" s="34"/>
      <c r="EGC10" s="34"/>
      <c r="EGD10" s="34"/>
      <c r="EGE10" s="34"/>
      <c r="EGF10" s="34"/>
      <c r="EGG10" s="34"/>
      <c r="EGH10" s="34"/>
      <c r="EGI10" s="34"/>
      <c r="EGJ10" s="34"/>
      <c r="EGK10" s="34"/>
      <c r="EGL10" s="34"/>
      <c r="EGM10" s="34"/>
      <c r="EGN10" s="34"/>
      <c r="EGO10" s="34"/>
      <c r="EGP10" s="34"/>
      <c r="EGQ10" s="34"/>
      <c r="EGR10" s="34"/>
      <c r="EGS10" s="34"/>
      <c r="EGT10" s="34"/>
      <c r="EGU10" s="34"/>
      <c r="EGV10" s="34"/>
      <c r="EGW10" s="34"/>
      <c r="EGX10" s="34"/>
      <c r="EGY10" s="34"/>
      <c r="EGZ10" s="34"/>
      <c r="EHA10" s="34"/>
      <c r="EHB10" s="34"/>
      <c r="EHC10" s="34"/>
      <c r="EHD10" s="34"/>
      <c r="EHE10" s="34"/>
      <c r="EHF10" s="34"/>
      <c r="EHG10" s="34"/>
      <c r="EHH10" s="34"/>
      <c r="EHI10" s="34"/>
      <c r="EHJ10" s="34"/>
      <c r="EHK10" s="34"/>
      <c r="EHL10" s="34"/>
      <c r="EHM10" s="34"/>
      <c r="EHN10" s="34"/>
      <c r="EHO10" s="34"/>
      <c r="EHP10" s="34"/>
      <c r="EHQ10" s="34"/>
      <c r="EHR10" s="34"/>
      <c r="EHS10" s="34"/>
      <c r="EHT10" s="34"/>
      <c r="EHU10" s="34"/>
      <c r="EHV10" s="34"/>
      <c r="EHW10" s="34"/>
      <c r="EHX10" s="34"/>
      <c r="EHY10" s="34"/>
      <c r="EHZ10" s="34"/>
      <c r="EIA10" s="34"/>
      <c r="EIB10" s="34"/>
      <c r="EIC10" s="34"/>
      <c r="EID10" s="34"/>
      <c r="EIE10" s="34"/>
      <c r="EIF10" s="34"/>
      <c r="EIG10" s="34"/>
      <c r="EIH10" s="34"/>
      <c r="EII10" s="34"/>
      <c r="EIJ10" s="34"/>
      <c r="EIK10" s="34"/>
      <c r="EIL10" s="34"/>
      <c r="EIM10" s="34"/>
      <c r="EIN10" s="34"/>
      <c r="EIO10" s="34"/>
      <c r="EIP10" s="34"/>
      <c r="EIQ10" s="34"/>
      <c r="EIR10" s="34"/>
      <c r="EIS10" s="34"/>
      <c r="EIT10" s="34"/>
      <c r="EIU10" s="34"/>
      <c r="EIV10" s="34"/>
      <c r="EIW10" s="34"/>
      <c r="EIX10" s="34"/>
      <c r="EIY10" s="34"/>
      <c r="EIZ10" s="34"/>
      <c r="EJA10" s="34"/>
      <c r="EJB10" s="34"/>
      <c r="EJC10" s="34"/>
      <c r="EJD10" s="34"/>
      <c r="EJE10" s="34"/>
      <c r="EJF10" s="34"/>
      <c r="EJG10" s="34"/>
      <c r="EJH10" s="34"/>
      <c r="EJI10" s="34"/>
      <c r="EJJ10" s="34"/>
      <c r="EJK10" s="34"/>
      <c r="EJL10" s="34"/>
      <c r="EJM10" s="34"/>
      <c r="EJN10" s="34"/>
      <c r="EJO10" s="34"/>
      <c r="EJP10" s="34"/>
      <c r="EJQ10" s="34"/>
      <c r="EJR10" s="34"/>
      <c r="EJS10" s="34"/>
      <c r="EJT10" s="34"/>
      <c r="EJU10" s="34"/>
      <c r="EJV10" s="34"/>
      <c r="EJW10" s="34"/>
      <c r="EJX10" s="34"/>
      <c r="EJY10" s="34"/>
      <c r="EJZ10" s="34"/>
      <c r="EKA10" s="34"/>
      <c r="EKB10" s="34"/>
      <c r="EKC10" s="34"/>
      <c r="EKD10" s="34"/>
      <c r="EKE10" s="34"/>
      <c r="EKF10" s="34"/>
      <c r="EKG10" s="34"/>
      <c r="EKH10" s="34"/>
      <c r="EKI10" s="34"/>
      <c r="EKJ10" s="34"/>
      <c r="EKK10" s="34"/>
      <c r="EKL10" s="34"/>
      <c r="EKM10" s="34"/>
      <c r="EKN10" s="34"/>
      <c r="EKO10" s="34"/>
      <c r="EKP10" s="34"/>
      <c r="EKQ10" s="34"/>
      <c r="EKR10" s="34"/>
      <c r="EKS10" s="34"/>
      <c r="EKT10" s="34"/>
      <c r="EKU10" s="34"/>
      <c r="EKV10" s="34"/>
      <c r="EKW10" s="34"/>
      <c r="EKX10" s="34"/>
      <c r="EKY10" s="34"/>
      <c r="EKZ10" s="34"/>
      <c r="ELA10" s="34"/>
      <c r="ELB10" s="34"/>
      <c r="ELC10" s="34"/>
      <c r="ELD10" s="34"/>
      <c r="ELE10" s="34"/>
      <c r="ELF10" s="34"/>
      <c r="ELG10" s="34"/>
      <c r="ELH10" s="34"/>
      <c r="ELI10" s="34"/>
      <c r="ELJ10" s="34"/>
      <c r="ELK10" s="34"/>
      <c r="ELL10" s="34"/>
      <c r="ELM10" s="34"/>
      <c r="ELN10" s="34"/>
      <c r="ELO10" s="34"/>
      <c r="ELP10" s="34"/>
      <c r="ELQ10" s="34"/>
      <c r="ELR10" s="34"/>
      <c r="ELS10" s="34"/>
      <c r="ELT10" s="34"/>
      <c r="ELU10" s="34"/>
      <c r="ELV10" s="34"/>
      <c r="ELW10" s="34"/>
      <c r="ELX10" s="34"/>
      <c r="ELY10" s="34"/>
      <c r="ELZ10" s="34"/>
      <c r="EMA10" s="34"/>
      <c r="EMB10" s="34"/>
      <c r="EMC10" s="34"/>
      <c r="EMD10" s="34"/>
      <c r="EME10" s="34"/>
      <c r="EMF10" s="34"/>
      <c r="EMG10" s="34"/>
      <c r="EMH10" s="34"/>
      <c r="EMI10" s="34"/>
      <c r="EMJ10" s="34"/>
      <c r="EMK10" s="34"/>
      <c r="EML10" s="34"/>
      <c r="EMM10" s="34"/>
      <c r="EMN10" s="34"/>
      <c r="EMO10" s="34"/>
      <c r="EMP10" s="34"/>
      <c r="EMQ10" s="34"/>
      <c r="EMR10" s="34"/>
      <c r="EMS10" s="34"/>
      <c r="EMT10" s="34"/>
      <c r="EMU10" s="34"/>
      <c r="EMV10" s="34"/>
      <c r="EMW10" s="34"/>
      <c r="EMX10" s="34"/>
      <c r="EMY10" s="34"/>
      <c r="EMZ10" s="34"/>
      <c r="ENA10" s="34"/>
      <c r="ENB10" s="34"/>
      <c r="ENC10" s="34"/>
      <c r="END10" s="34"/>
      <c r="ENE10" s="34"/>
      <c r="ENF10" s="34"/>
      <c r="ENG10" s="34"/>
      <c r="ENH10" s="34"/>
      <c r="ENI10" s="34"/>
      <c r="ENJ10" s="34"/>
      <c r="ENK10" s="34"/>
      <c r="ENL10" s="34"/>
      <c r="ENM10" s="34"/>
      <c r="ENN10" s="34"/>
      <c r="ENO10" s="34"/>
      <c r="ENP10" s="34"/>
      <c r="ENQ10" s="34"/>
      <c r="ENR10" s="34"/>
      <c r="ENS10" s="34"/>
      <c r="ENT10" s="34"/>
      <c r="ENU10" s="34"/>
      <c r="ENV10" s="34"/>
      <c r="ENW10" s="34"/>
      <c r="ENX10" s="34"/>
      <c r="ENY10" s="34"/>
      <c r="ENZ10" s="34"/>
      <c r="EOA10" s="34"/>
      <c r="EOB10" s="34"/>
      <c r="EOC10" s="34"/>
      <c r="EOD10" s="34"/>
      <c r="EOE10" s="34"/>
      <c r="EOF10" s="34"/>
      <c r="EOG10" s="34"/>
      <c r="EOH10" s="34"/>
      <c r="EOI10" s="34"/>
      <c r="EOJ10" s="34"/>
      <c r="EOK10" s="34"/>
      <c r="EOL10" s="34"/>
      <c r="EOM10" s="34"/>
      <c r="EON10" s="34"/>
      <c r="EOO10" s="34"/>
      <c r="EOP10" s="34"/>
      <c r="EOQ10" s="34"/>
      <c r="EOR10" s="34"/>
      <c r="EOS10" s="34"/>
      <c r="EOT10" s="34"/>
      <c r="EOU10" s="34"/>
      <c r="EOV10" s="34"/>
      <c r="EOW10" s="34"/>
      <c r="EOX10" s="34"/>
      <c r="EOY10" s="34"/>
      <c r="EOZ10" s="34"/>
      <c r="EPA10" s="34"/>
      <c r="EPB10" s="34"/>
      <c r="EPC10" s="34"/>
      <c r="EPD10" s="34"/>
      <c r="EPE10" s="34"/>
      <c r="EPF10" s="34"/>
      <c r="EPG10" s="34"/>
      <c r="EPH10" s="34"/>
      <c r="EPI10" s="34"/>
      <c r="EPJ10" s="34"/>
      <c r="EPK10" s="34"/>
      <c r="EPL10" s="34"/>
      <c r="EPM10" s="34"/>
      <c r="EPN10" s="34"/>
      <c r="EPO10" s="34"/>
      <c r="EPP10" s="34"/>
      <c r="EPQ10" s="34"/>
      <c r="EPR10" s="34"/>
      <c r="EPS10" s="34"/>
      <c r="EPT10" s="34"/>
      <c r="EPU10" s="34"/>
      <c r="EPV10" s="34"/>
      <c r="EPW10" s="34"/>
      <c r="EPX10" s="34"/>
      <c r="EPY10" s="34"/>
      <c r="EPZ10" s="34"/>
      <c r="EQA10" s="34"/>
      <c r="EQB10" s="34"/>
      <c r="EQC10" s="34"/>
      <c r="EQD10" s="34"/>
      <c r="EQE10" s="34"/>
      <c r="EQF10" s="34"/>
      <c r="EQG10" s="34"/>
      <c r="EQH10" s="34"/>
      <c r="EQI10" s="34"/>
      <c r="EQJ10" s="34"/>
      <c r="EQK10" s="34"/>
      <c r="EQL10" s="34"/>
      <c r="EQM10" s="34"/>
      <c r="EQN10" s="34"/>
      <c r="EQO10" s="34"/>
      <c r="EQP10" s="34"/>
      <c r="EQQ10" s="34"/>
      <c r="EQR10" s="34"/>
      <c r="EQS10" s="34"/>
      <c r="EQT10" s="34"/>
      <c r="EQU10" s="34"/>
      <c r="EQV10" s="34"/>
      <c r="EQW10" s="34"/>
      <c r="EQX10" s="34"/>
      <c r="EQY10" s="34"/>
      <c r="EQZ10" s="34"/>
      <c r="ERA10" s="34"/>
      <c r="ERB10" s="34"/>
      <c r="ERC10" s="34"/>
      <c r="ERD10" s="34"/>
      <c r="ERE10" s="34"/>
      <c r="ERF10" s="34"/>
      <c r="ERG10" s="34"/>
      <c r="ERH10" s="34"/>
      <c r="ERI10" s="34"/>
      <c r="ERJ10" s="34"/>
      <c r="ERK10" s="34"/>
      <c r="ERL10" s="34"/>
      <c r="ERM10" s="34"/>
      <c r="ERN10" s="34"/>
      <c r="ERO10" s="34"/>
      <c r="ERP10" s="34"/>
      <c r="ERQ10" s="34"/>
      <c r="ERR10" s="34"/>
      <c r="ERS10" s="34"/>
      <c r="ERT10" s="34"/>
      <c r="ERU10" s="34"/>
      <c r="ERV10" s="34"/>
      <c r="ERW10" s="34"/>
      <c r="ERX10" s="34"/>
      <c r="ERY10" s="34"/>
      <c r="ERZ10" s="34"/>
      <c r="ESA10" s="34"/>
      <c r="ESB10" s="34"/>
      <c r="ESC10" s="34"/>
      <c r="ESD10" s="34"/>
      <c r="ESE10" s="34"/>
      <c r="ESF10" s="34"/>
      <c r="ESG10" s="34"/>
      <c r="ESH10" s="34"/>
      <c r="ESI10" s="34"/>
      <c r="ESJ10" s="34"/>
      <c r="ESK10" s="34"/>
      <c r="ESL10" s="34"/>
      <c r="ESM10" s="34"/>
      <c r="ESN10" s="34"/>
      <c r="ESO10" s="34"/>
      <c r="ESP10" s="34"/>
      <c r="ESQ10" s="34"/>
      <c r="ESR10" s="34"/>
      <c r="ESS10" s="34"/>
      <c r="EST10" s="34"/>
      <c r="ESU10" s="34"/>
      <c r="ESV10" s="34"/>
      <c r="ESW10" s="34"/>
      <c r="ESX10" s="34"/>
      <c r="ESY10" s="34"/>
      <c r="ESZ10" s="34"/>
      <c r="ETA10" s="34"/>
      <c r="ETB10" s="34"/>
      <c r="ETC10" s="34"/>
      <c r="ETD10" s="34"/>
      <c r="ETE10" s="34"/>
      <c r="ETF10" s="34"/>
      <c r="ETG10" s="34"/>
      <c r="ETH10" s="34"/>
      <c r="ETI10" s="34"/>
      <c r="ETJ10" s="34"/>
      <c r="ETK10" s="34"/>
      <c r="ETL10" s="34"/>
      <c r="ETM10" s="34"/>
      <c r="ETN10" s="34"/>
      <c r="ETO10" s="34"/>
      <c r="ETP10" s="34"/>
      <c r="ETQ10" s="34"/>
      <c r="ETR10" s="34"/>
      <c r="ETS10" s="34"/>
      <c r="ETT10" s="34"/>
      <c r="ETU10" s="34"/>
      <c r="ETV10" s="34"/>
      <c r="ETW10" s="34"/>
      <c r="ETX10" s="34"/>
      <c r="ETY10" s="34"/>
      <c r="ETZ10" s="34"/>
      <c r="EUA10" s="34"/>
      <c r="EUB10" s="34"/>
      <c r="EUC10" s="34"/>
      <c r="EUD10" s="34"/>
      <c r="EUE10" s="34"/>
      <c r="EUF10" s="34"/>
      <c r="EUG10" s="34"/>
      <c r="EUH10" s="34"/>
      <c r="EUI10" s="34"/>
      <c r="EUJ10" s="34"/>
      <c r="EUK10" s="34"/>
      <c r="EUL10" s="34"/>
      <c r="EUM10" s="34"/>
      <c r="EUN10" s="34"/>
      <c r="EUO10" s="34"/>
      <c r="EUP10" s="34"/>
      <c r="EUQ10" s="34"/>
      <c r="EUR10" s="34"/>
      <c r="EUS10" s="34"/>
      <c r="EUT10" s="34"/>
      <c r="EUU10" s="34"/>
      <c r="EUV10" s="34"/>
      <c r="EUW10" s="34"/>
      <c r="EUX10" s="34"/>
      <c r="EUY10" s="34"/>
      <c r="EUZ10" s="34"/>
      <c r="EVA10" s="34"/>
      <c r="EVB10" s="34"/>
      <c r="EVC10" s="34"/>
      <c r="EVD10" s="34"/>
      <c r="EVE10" s="34"/>
      <c r="EVF10" s="34"/>
      <c r="EVG10" s="34"/>
      <c r="EVH10" s="34"/>
      <c r="EVI10" s="34"/>
      <c r="EVJ10" s="34"/>
      <c r="EVK10" s="34"/>
      <c r="EVL10" s="34"/>
      <c r="EVM10" s="34"/>
      <c r="EVN10" s="34"/>
      <c r="EVO10" s="34"/>
      <c r="EVP10" s="34"/>
      <c r="EVQ10" s="34"/>
      <c r="EVR10" s="34"/>
      <c r="EVS10" s="34"/>
      <c r="EVT10" s="34"/>
      <c r="EVU10" s="34"/>
      <c r="EVV10" s="34"/>
      <c r="EVW10" s="34"/>
      <c r="EVX10" s="34"/>
      <c r="EVY10" s="34"/>
      <c r="EVZ10" s="34"/>
      <c r="EWA10" s="34"/>
      <c r="EWB10" s="34"/>
      <c r="EWC10" s="34"/>
      <c r="EWD10" s="34"/>
      <c r="EWE10" s="34"/>
      <c r="EWF10" s="34"/>
      <c r="EWG10" s="34"/>
      <c r="EWH10" s="34"/>
      <c r="EWI10" s="34"/>
      <c r="EWJ10" s="34"/>
      <c r="EWK10" s="34"/>
      <c r="EWL10" s="34"/>
      <c r="EWM10" s="34"/>
      <c r="EWN10" s="34"/>
      <c r="EWO10" s="34"/>
      <c r="EWP10" s="34"/>
      <c r="EWQ10" s="34"/>
      <c r="EWR10" s="34"/>
      <c r="EWS10" s="34"/>
      <c r="EWT10" s="34"/>
      <c r="EWU10" s="34"/>
      <c r="EWV10" s="34"/>
      <c r="EWW10" s="34"/>
      <c r="EWX10" s="34"/>
      <c r="EWY10" s="34"/>
      <c r="EWZ10" s="34"/>
      <c r="EXA10" s="34"/>
      <c r="EXB10" s="34"/>
      <c r="EXC10" s="34"/>
      <c r="EXD10" s="34"/>
      <c r="EXE10" s="34"/>
      <c r="EXF10" s="34"/>
      <c r="EXG10" s="34"/>
      <c r="EXH10" s="34"/>
      <c r="EXI10" s="34"/>
      <c r="EXJ10" s="34"/>
      <c r="EXK10" s="34"/>
      <c r="EXL10" s="34"/>
      <c r="EXM10" s="34"/>
      <c r="EXN10" s="34"/>
      <c r="EXO10" s="34"/>
      <c r="EXP10" s="34"/>
      <c r="EXQ10" s="34"/>
      <c r="EXR10" s="34"/>
      <c r="EXS10" s="34"/>
      <c r="EXT10" s="34"/>
      <c r="EXU10" s="34"/>
      <c r="EXV10" s="34"/>
      <c r="EXW10" s="34"/>
      <c r="EXX10" s="34"/>
      <c r="EXY10" s="34"/>
      <c r="EXZ10" s="34"/>
      <c r="EYA10" s="34"/>
      <c r="EYB10" s="34"/>
      <c r="EYC10" s="34"/>
      <c r="EYD10" s="34"/>
      <c r="EYE10" s="34"/>
      <c r="EYF10" s="34"/>
      <c r="EYG10" s="34"/>
      <c r="EYH10" s="34"/>
      <c r="EYI10" s="34"/>
      <c r="EYJ10" s="34"/>
      <c r="EYK10" s="34"/>
      <c r="EYL10" s="34"/>
      <c r="EYM10" s="34"/>
      <c r="EYN10" s="34"/>
      <c r="EYO10" s="34"/>
      <c r="EYP10" s="34"/>
      <c r="EYQ10" s="34"/>
      <c r="EYR10" s="34"/>
      <c r="EYS10" s="34"/>
      <c r="EYT10" s="34"/>
      <c r="EYU10" s="34"/>
      <c r="EYV10" s="34"/>
      <c r="EYW10" s="34"/>
      <c r="EYX10" s="34"/>
      <c r="EYY10" s="34"/>
      <c r="EYZ10" s="34"/>
      <c r="EZA10" s="34"/>
      <c r="EZB10" s="34"/>
      <c r="EZC10" s="34"/>
      <c r="EZD10" s="34"/>
      <c r="EZE10" s="34"/>
      <c r="EZF10" s="34"/>
      <c r="EZG10" s="34"/>
      <c r="EZH10" s="34"/>
      <c r="EZI10" s="34"/>
      <c r="EZJ10" s="34"/>
      <c r="EZK10" s="34"/>
      <c r="EZL10" s="34"/>
      <c r="EZM10" s="34"/>
      <c r="EZN10" s="34"/>
      <c r="EZO10" s="34"/>
      <c r="EZP10" s="34"/>
      <c r="EZQ10" s="34"/>
      <c r="EZR10" s="34"/>
      <c r="EZS10" s="34"/>
      <c r="EZT10" s="34"/>
      <c r="EZU10" s="34"/>
      <c r="EZV10" s="34"/>
      <c r="EZW10" s="34"/>
      <c r="EZX10" s="34"/>
      <c r="EZY10" s="34"/>
      <c r="EZZ10" s="34"/>
      <c r="FAA10" s="34"/>
      <c r="FAB10" s="34"/>
      <c r="FAC10" s="34"/>
      <c r="FAD10" s="34"/>
      <c r="FAE10" s="34"/>
      <c r="FAF10" s="34"/>
      <c r="FAG10" s="34"/>
      <c r="FAH10" s="34"/>
      <c r="FAI10" s="34"/>
      <c r="FAJ10" s="34"/>
      <c r="FAK10" s="34"/>
      <c r="FAL10" s="34"/>
      <c r="FAM10" s="34"/>
      <c r="FAN10" s="34"/>
      <c r="FAO10" s="34"/>
      <c r="FAP10" s="34"/>
      <c r="FAQ10" s="34"/>
      <c r="FAR10" s="34"/>
      <c r="FAS10" s="34"/>
      <c r="FAT10" s="34"/>
      <c r="FAU10" s="34"/>
      <c r="FAV10" s="34"/>
      <c r="FAW10" s="34"/>
      <c r="FAX10" s="34"/>
      <c r="FAY10" s="34"/>
      <c r="FAZ10" s="34"/>
      <c r="FBA10" s="34"/>
      <c r="FBB10" s="34"/>
      <c r="FBC10" s="34"/>
      <c r="FBD10" s="34"/>
      <c r="FBE10" s="34"/>
      <c r="FBF10" s="34"/>
      <c r="FBG10" s="34"/>
      <c r="FBH10" s="34"/>
      <c r="FBI10" s="34"/>
      <c r="FBJ10" s="34"/>
      <c r="FBK10" s="34"/>
      <c r="FBL10" s="34"/>
      <c r="FBM10" s="34"/>
      <c r="FBN10" s="34"/>
      <c r="FBO10" s="34"/>
      <c r="FBP10" s="34"/>
      <c r="FBQ10" s="34"/>
      <c r="FBR10" s="34"/>
      <c r="FBS10" s="34"/>
      <c r="FBT10" s="34"/>
      <c r="FBU10" s="34"/>
      <c r="FBV10" s="34"/>
      <c r="FBW10" s="34"/>
      <c r="FBX10" s="34"/>
      <c r="FBY10" s="34"/>
      <c r="FBZ10" s="34"/>
      <c r="FCA10" s="34"/>
      <c r="FCB10" s="34"/>
      <c r="FCC10" s="34"/>
      <c r="FCD10" s="34"/>
      <c r="FCE10" s="34"/>
      <c r="FCF10" s="34"/>
      <c r="FCG10" s="34"/>
      <c r="FCH10" s="34"/>
      <c r="FCI10" s="34"/>
      <c r="FCJ10" s="34"/>
      <c r="FCK10" s="34"/>
      <c r="FCL10" s="34"/>
      <c r="FCM10" s="34"/>
      <c r="FCN10" s="34"/>
      <c r="FCO10" s="34"/>
      <c r="FCP10" s="34"/>
      <c r="FCQ10" s="34"/>
      <c r="FCR10" s="34"/>
      <c r="FCS10" s="34"/>
      <c r="FCT10" s="34"/>
      <c r="FCU10" s="34"/>
      <c r="FCV10" s="34"/>
      <c r="FCW10" s="34"/>
      <c r="FCX10" s="34"/>
      <c r="FCY10" s="34"/>
      <c r="FCZ10" s="34"/>
      <c r="FDA10" s="34"/>
      <c r="FDB10" s="34"/>
      <c r="FDC10" s="34"/>
      <c r="FDD10" s="34"/>
      <c r="FDE10" s="34"/>
      <c r="FDF10" s="34"/>
      <c r="FDG10" s="34"/>
      <c r="FDH10" s="34"/>
      <c r="FDI10" s="34"/>
      <c r="FDJ10" s="34"/>
      <c r="FDK10" s="34"/>
      <c r="FDL10" s="34"/>
      <c r="FDM10" s="34"/>
      <c r="FDN10" s="34"/>
      <c r="FDO10" s="34"/>
      <c r="FDP10" s="34"/>
      <c r="FDQ10" s="34"/>
      <c r="FDR10" s="34"/>
      <c r="FDS10" s="34"/>
      <c r="FDT10" s="34"/>
      <c r="FDU10" s="34"/>
      <c r="FDV10" s="34"/>
      <c r="FDW10" s="34"/>
      <c r="FDX10" s="34"/>
      <c r="FDY10" s="34"/>
      <c r="FDZ10" s="34"/>
      <c r="FEA10" s="34"/>
      <c r="FEB10" s="34"/>
      <c r="FEC10" s="34"/>
      <c r="FED10" s="34"/>
      <c r="FEE10" s="34"/>
      <c r="FEF10" s="34"/>
      <c r="FEG10" s="34"/>
      <c r="FEH10" s="34"/>
      <c r="FEI10" s="34"/>
      <c r="FEJ10" s="34"/>
      <c r="FEK10" s="34"/>
      <c r="FEL10" s="34"/>
      <c r="FEM10" s="34"/>
      <c r="FEN10" s="34"/>
      <c r="FEO10" s="34"/>
      <c r="FEP10" s="34"/>
      <c r="FEQ10" s="34"/>
      <c r="FER10" s="34"/>
      <c r="FES10" s="34"/>
      <c r="FET10" s="34"/>
      <c r="FEU10" s="34"/>
      <c r="FEV10" s="34"/>
      <c r="FEW10" s="34"/>
      <c r="FEX10" s="34"/>
      <c r="FEY10" s="34"/>
      <c r="FEZ10" s="34"/>
      <c r="FFA10" s="34"/>
      <c r="FFB10" s="34"/>
      <c r="FFC10" s="34"/>
      <c r="FFD10" s="34"/>
      <c r="FFE10" s="34"/>
      <c r="FFF10" s="34"/>
      <c r="FFG10" s="34"/>
      <c r="FFH10" s="34"/>
      <c r="FFI10" s="34"/>
      <c r="FFJ10" s="34"/>
      <c r="FFK10" s="34"/>
      <c r="FFL10" s="34"/>
      <c r="FFM10" s="34"/>
      <c r="FFN10" s="34"/>
      <c r="FFO10" s="34"/>
      <c r="FFP10" s="34"/>
      <c r="FFQ10" s="34"/>
      <c r="FFR10" s="34"/>
      <c r="FFS10" s="34"/>
      <c r="FFT10" s="34"/>
      <c r="FFU10" s="34"/>
      <c r="FFV10" s="34"/>
      <c r="FFW10" s="34"/>
      <c r="FFX10" s="34"/>
      <c r="FFY10" s="34"/>
      <c r="FFZ10" s="34"/>
      <c r="FGA10" s="34"/>
      <c r="FGB10" s="34"/>
      <c r="FGC10" s="34"/>
      <c r="FGD10" s="34"/>
      <c r="FGE10" s="34"/>
      <c r="FGF10" s="34"/>
      <c r="FGG10" s="34"/>
      <c r="FGH10" s="34"/>
      <c r="FGI10" s="34"/>
      <c r="FGJ10" s="34"/>
      <c r="FGK10" s="34"/>
      <c r="FGL10" s="34"/>
      <c r="FGM10" s="34"/>
      <c r="FGN10" s="34"/>
      <c r="FGO10" s="34"/>
      <c r="FGP10" s="34"/>
      <c r="FGQ10" s="34"/>
      <c r="FGR10" s="34"/>
      <c r="FGS10" s="34"/>
      <c r="FGT10" s="34"/>
      <c r="FGU10" s="34"/>
      <c r="FGV10" s="34"/>
      <c r="FGW10" s="34"/>
      <c r="FGX10" s="34"/>
      <c r="FGY10" s="34"/>
      <c r="FGZ10" s="34"/>
      <c r="FHA10" s="34"/>
      <c r="FHB10" s="34"/>
      <c r="FHC10" s="34"/>
      <c r="FHD10" s="34"/>
      <c r="FHE10" s="34"/>
      <c r="FHF10" s="34"/>
      <c r="FHG10" s="34"/>
      <c r="FHH10" s="34"/>
      <c r="FHI10" s="34"/>
      <c r="FHJ10" s="34"/>
      <c r="FHK10" s="34"/>
      <c r="FHL10" s="34"/>
      <c r="FHM10" s="34"/>
      <c r="FHN10" s="34"/>
      <c r="FHO10" s="34"/>
      <c r="FHP10" s="34"/>
      <c r="FHQ10" s="34"/>
      <c r="FHR10" s="34"/>
      <c r="FHS10" s="34"/>
      <c r="FHT10" s="34"/>
      <c r="FHU10" s="34"/>
      <c r="FHV10" s="34"/>
      <c r="FHW10" s="34"/>
      <c r="FHX10" s="34"/>
      <c r="FHY10" s="34"/>
      <c r="FHZ10" s="34"/>
      <c r="FIA10" s="34"/>
      <c r="FIB10" s="34"/>
      <c r="FIC10" s="34"/>
      <c r="FID10" s="34"/>
      <c r="FIE10" s="34"/>
      <c r="FIF10" s="34"/>
      <c r="FIG10" s="34"/>
      <c r="FIH10" s="34"/>
      <c r="FII10" s="34"/>
      <c r="FIJ10" s="34"/>
      <c r="FIK10" s="34"/>
      <c r="FIL10" s="34"/>
      <c r="FIM10" s="34"/>
      <c r="FIN10" s="34"/>
      <c r="FIO10" s="34"/>
      <c r="FIP10" s="34"/>
      <c r="FIQ10" s="34"/>
      <c r="FIR10" s="34"/>
      <c r="FIS10" s="34"/>
      <c r="FIT10" s="34"/>
      <c r="FIU10" s="34"/>
      <c r="FIV10" s="34"/>
      <c r="FIW10" s="34"/>
      <c r="FIX10" s="34"/>
      <c r="FIY10" s="34"/>
      <c r="FIZ10" s="34"/>
      <c r="FJA10" s="34"/>
      <c r="FJB10" s="34"/>
      <c r="FJC10" s="34"/>
      <c r="FJD10" s="34"/>
      <c r="FJE10" s="34"/>
      <c r="FJF10" s="34"/>
      <c r="FJG10" s="34"/>
      <c r="FJH10" s="34"/>
      <c r="FJI10" s="34"/>
      <c r="FJJ10" s="34"/>
      <c r="FJK10" s="34"/>
      <c r="FJL10" s="34"/>
      <c r="FJM10" s="34"/>
      <c r="FJN10" s="34"/>
      <c r="FJO10" s="34"/>
      <c r="FJP10" s="34"/>
      <c r="FJQ10" s="34"/>
      <c r="FJR10" s="34"/>
      <c r="FJS10" s="34"/>
      <c r="FJT10" s="34"/>
      <c r="FJU10" s="34"/>
      <c r="FJV10" s="34"/>
      <c r="FJW10" s="34"/>
      <c r="FJX10" s="34"/>
      <c r="FJY10" s="34"/>
      <c r="FJZ10" s="34"/>
      <c r="FKA10" s="34"/>
      <c r="FKB10" s="34"/>
      <c r="FKC10" s="34"/>
      <c r="FKD10" s="34"/>
      <c r="FKE10" s="34"/>
      <c r="FKF10" s="34"/>
      <c r="FKG10" s="34"/>
      <c r="FKH10" s="34"/>
      <c r="FKI10" s="34"/>
      <c r="FKJ10" s="34"/>
      <c r="FKK10" s="34"/>
      <c r="FKL10" s="34"/>
      <c r="FKM10" s="34"/>
      <c r="FKN10" s="34"/>
      <c r="FKO10" s="34"/>
      <c r="FKP10" s="34"/>
      <c r="FKQ10" s="34"/>
      <c r="FKR10" s="34"/>
      <c r="FKS10" s="34"/>
      <c r="FKT10" s="34"/>
      <c r="FKU10" s="34"/>
      <c r="FKV10" s="34"/>
      <c r="FKW10" s="34"/>
      <c r="FKX10" s="34"/>
      <c r="FKY10" s="34"/>
      <c r="FKZ10" s="34"/>
      <c r="FLA10" s="34"/>
      <c r="FLB10" s="34"/>
      <c r="FLC10" s="34"/>
      <c r="FLD10" s="34"/>
      <c r="FLE10" s="34"/>
      <c r="FLF10" s="34"/>
      <c r="FLG10" s="34"/>
      <c r="FLH10" s="34"/>
      <c r="FLI10" s="34"/>
      <c r="FLJ10" s="34"/>
      <c r="FLK10" s="34"/>
      <c r="FLL10" s="34"/>
      <c r="FLM10" s="34"/>
      <c r="FLN10" s="34"/>
      <c r="FLO10" s="34"/>
      <c r="FLP10" s="34"/>
      <c r="FLQ10" s="34"/>
      <c r="FLR10" s="34"/>
      <c r="FLS10" s="34"/>
      <c r="FLT10" s="34"/>
      <c r="FLU10" s="34"/>
      <c r="FLV10" s="34"/>
      <c r="FLW10" s="34"/>
      <c r="FLX10" s="34"/>
      <c r="FLY10" s="34"/>
      <c r="FLZ10" s="34"/>
      <c r="FMA10" s="34"/>
      <c r="FMB10" s="34"/>
      <c r="FMC10" s="34"/>
      <c r="FMD10" s="34"/>
      <c r="FME10" s="34"/>
      <c r="FMF10" s="34"/>
      <c r="FMG10" s="34"/>
      <c r="FMH10" s="34"/>
      <c r="FMI10" s="34"/>
      <c r="FMJ10" s="34"/>
      <c r="FMK10" s="34"/>
      <c r="FML10" s="34"/>
      <c r="FMM10" s="34"/>
      <c r="FMN10" s="34"/>
      <c r="FMO10" s="34"/>
      <c r="FMP10" s="34"/>
      <c r="FMQ10" s="34"/>
      <c r="FMR10" s="34"/>
      <c r="FMS10" s="34"/>
      <c r="FMT10" s="34"/>
      <c r="FMU10" s="34"/>
      <c r="FMV10" s="34"/>
      <c r="FMW10" s="34"/>
      <c r="FMX10" s="34"/>
      <c r="FMY10" s="34"/>
      <c r="FMZ10" s="34"/>
      <c r="FNA10" s="34"/>
      <c r="FNB10" s="34"/>
      <c r="FNC10" s="34"/>
      <c r="FND10" s="34"/>
      <c r="FNE10" s="34"/>
      <c r="FNF10" s="34"/>
      <c r="FNG10" s="34"/>
      <c r="FNH10" s="34"/>
      <c r="FNI10" s="34"/>
      <c r="FNJ10" s="34"/>
      <c r="FNK10" s="34"/>
      <c r="FNL10" s="34"/>
      <c r="FNM10" s="34"/>
      <c r="FNN10" s="34"/>
      <c r="FNO10" s="34"/>
      <c r="FNP10" s="34"/>
      <c r="FNQ10" s="34"/>
      <c r="FNR10" s="34"/>
      <c r="FNS10" s="34"/>
      <c r="FNT10" s="34"/>
      <c r="FNU10" s="34"/>
      <c r="FNV10" s="34"/>
      <c r="FNW10" s="34"/>
      <c r="FNX10" s="34"/>
      <c r="FNY10" s="34"/>
      <c r="FNZ10" s="34"/>
      <c r="FOA10" s="34"/>
      <c r="FOB10" s="34"/>
      <c r="FOC10" s="34"/>
      <c r="FOD10" s="34"/>
      <c r="FOE10" s="34"/>
      <c r="FOF10" s="34"/>
      <c r="FOG10" s="34"/>
      <c r="FOH10" s="34"/>
      <c r="FOI10" s="34"/>
      <c r="FOJ10" s="34"/>
      <c r="FOK10" s="34"/>
      <c r="FOL10" s="34"/>
      <c r="FOM10" s="34"/>
      <c r="FON10" s="34"/>
      <c r="FOO10" s="34"/>
      <c r="FOP10" s="34"/>
      <c r="FOQ10" s="34"/>
      <c r="FOR10" s="34"/>
      <c r="FOS10" s="34"/>
      <c r="FOT10" s="34"/>
      <c r="FOU10" s="34"/>
      <c r="FOV10" s="34"/>
      <c r="FOW10" s="34"/>
      <c r="FOX10" s="34"/>
      <c r="FOY10" s="34"/>
      <c r="FOZ10" s="34"/>
      <c r="FPA10" s="34"/>
      <c r="FPB10" s="34"/>
      <c r="FPC10" s="34"/>
      <c r="FPD10" s="34"/>
      <c r="FPE10" s="34"/>
      <c r="FPF10" s="34"/>
      <c r="FPG10" s="34"/>
      <c r="FPH10" s="34"/>
      <c r="FPI10" s="34"/>
      <c r="FPJ10" s="34"/>
      <c r="FPK10" s="34"/>
      <c r="FPL10" s="34"/>
      <c r="FPM10" s="34"/>
      <c r="FPN10" s="34"/>
      <c r="FPO10" s="34"/>
      <c r="FPP10" s="34"/>
      <c r="FPQ10" s="34"/>
      <c r="FPR10" s="34"/>
      <c r="FPS10" s="34"/>
      <c r="FPT10" s="34"/>
      <c r="FPU10" s="34"/>
      <c r="FPV10" s="34"/>
      <c r="FPW10" s="34"/>
      <c r="FPX10" s="34"/>
      <c r="FPY10" s="34"/>
      <c r="FPZ10" s="34"/>
      <c r="FQA10" s="34"/>
      <c r="FQB10" s="34"/>
      <c r="FQC10" s="34"/>
      <c r="FQD10" s="34"/>
      <c r="FQE10" s="34"/>
      <c r="FQF10" s="34"/>
      <c r="FQG10" s="34"/>
      <c r="FQH10" s="34"/>
      <c r="FQI10" s="34"/>
      <c r="FQJ10" s="34"/>
      <c r="FQK10" s="34"/>
      <c r="FQL10" s="34"/>
      <c r="FQM10" s="34"/>
      <c r="FQN10" s="34"/>
      <c r="FQO10" s="34"/>
      <c r="FQP10" s="34"/>
      <c r="FQQ10" s="34"/>
      <c r="FQR10" s="34"/>
      <c r="FQS10" s="34"/>
      <c r="FQT10" s="34"/>
      <c r="FQU10" s="34"/>
      <c r="FQV10" s="34"/>
      <c r="FQW10" s="34"/>
      <c r="FQX10" s="34"/>
      <c r="FQY10" s="34"/>
      <c r="FQZ10" s="34"/>
      <c r="FRA10" s="34"/>
      <c r="FRB10" s="34"/>
      <c r="FRC10" s="34"/>
      <c r="FRD10" s="34"/>
      <c r="FRE10" s="34"/>
      <c r="FRF10" s="34"/>
      <c r="FRG10" s="34"/>
      <c r="FRH10" s="34"/>
      <c r="FRI10" s="34"/>
      <c r="FRJ10" s="34"/>
      <c r="FRK10" s="34"/>
      <c r="FRL10" s="34"/>
      <c r="FRM10" s="34"/>
      <c r="FRN10" s="34"/>
      <c r="FRO10" s="34"/>
      <c r="FRP10" s="34"/>
      <c r="FRQ10" s="34"/>
      <c r="FRR10" s="34"/>
      <c r="FRS10" s="34"/>
      <c r="FRT10" s="34"/>
      <c r="FRU10" s="34"/>
      <c r="FRV10" s="34"/>
      <c r="FRW10" s="34"/>
      <c r="FRX10" s="34"/>
      <c r="FRY10" s="34"/>
      <c r="FRZ10" s="34"/>
      <c r="FSA10" s="34"/>
      <c r="FSB10" s="34"/>
      <c r="FSC10" s="34"/>
      <c r="FSD10" s="34"/>
      <c r="FSE10" s="34"/>
      <c r="FSF10" s="34"/>
      <c r="FSG10" s="34"/>
      <c r="FSH10" s="34"/>
      <c r="FSI10" s="34"/>
      <c r="FSJ10" s="34"/>
      <c r="FSK10" s="34"/>
      <c r="FSL10" s="34"/>
      <c r="FSM10" s="34"/>
      <c r="FSN10" s="34"/>
      <c r="FSO10" s="34"/>
      <c r="FSP10" s="34"/>
      <c r="FSQ10" s="34"/>
      <c r="FSR10" s="34"/>
      <c r="FSS10" s="34"/>
      <c r="FST10" s="34"/>
      <c r="FSU10" s="34"/>
      <c r="FSV10" s="34"/>
      <c r="FSW10" s="34"/>
      <c r="FSX10" s="34"/>
      <c r="FSY10" s="34"/>
      <c r="FSZ10" s="34"/>
      <c r="FTA10" s="34"/>
      <c r="FTB10" s="34"/>
      <c r="FTC10" s="34"/>
      <c r="FTD10" s="34"/>
      <c r="FTE10" s="34"/>
      <c r="FTF10" s="34"/>
      <c r="FTG10" s="34"/>
      <c r="FTH10" s="34"/>
      <c r="FTI10" s="34"/>
      <c r="FTJ10" s="34"/>
      <c r="FTK10" s="34"/>
      <c r="FTL10" s="34"/>
      <c r="FTM10" s="34"/>
      <c r="FTN10" s="34"/>
      <c r="FTO10" s="34"/>
      <c r="FTP10" s="34"/>
      <c r="FTQ10" s="34"/>
      <c r="FTR10" s="34"/>
      <c r="FTS10" s="34"/>
      <c r="FTT10" s="34"/>
      <c r="FTU10" s="34"/>
      <c r="FTV10" s="34"/>
      <c r="FTW10" s="34"/>
      <c r="FTX10" s="34"/>
      <c r="FTY10" s="34"/>
      <c r="FTZ10" s="34"/>
      <c r="FUA10" s="34"/>
      <c r="FUB10" s="34"/>
      <c r="FUC10" s="34"/>
      <c r="FUD10" s="34"/>
      <c r="FUE10" s="34"/>
      <c r="FUF10" s="34"/>
      <c r="FUG10" s="34"/>
      <c r="FUH10" s="34"/>
      <c r="FUI10" s="34"/>
      <c r="FUJ10" s="34"/>
      <c r="FUK10" s="34"/>
      <c r="FUL10" s="34"/>
      <c r="FUM10" s="34"/>
      <c r="FUN10" s="34"/>
      <c r="FUO10" s="34"/>
      <c r="FUP10" s="34"/>
      <c r="FUQ10" s="34"/>
      <c r="FUR10" s="34"/>
      <c r="FUS10" s="34"/>
      <c r="FUT10" s="34"/>
      <c r="FUU10" s="34"/>
      <c r="FUV10" s="34"/>
      <c r="FUW10" s="34"/>
      <c r="FUX10" s="34"/>
      <c r="FUY10" s="34"/>
      <c r="FUZ10" s="34"/>
      <c r="FVA10" s="34"/>
      <c r="FVB10" s="34"/>
      <c r="FVC10" s="34"/>
      <c r="FVD10" s="34"/>
      <c r="FVE10" s="34"/>
      <c r="FVF10" s="34"/>
      <c r="FVG10" s="34"/>
      <c r="FVH10" s="34"/>
      <c r="FVI10" s="34"/>
      <c r="FVJ10" s="34"/>
      <c r="FVK10" s="34"/>
      <c r="FVL10" s="34"/>
      <c r="FVM10" s="34"/>
      <c r="FVN10" s="34"/>
      <c r="FVO10" s="34"/>
      <c r="FVP10" s="34"/>
      <c r="FVQ10" s="34"/>
      <c r="FVR10" s="34"/>
      <c r="FVS10" s="34"/>
      <c r="FVT10" s="34"/>
      <c r="FVU10" s="34"/>
      <c r="FVV10" s="34"/>
      <c r="FVW10" s="34"/>
      <c r="FVX10" s="34"/>
      <c r="FVY10" s="34"/>
      <c r="FVZ10" s="34"/>
      <c r="FWA10" s="34"/>
      <c r="FWB10" s="34"/>
      <c r="FWC10" s="34"/>
      <c r="FWD10" s="34"/>
      <c r="FWE10" s="34"/>
      <c r="FWF10" s="34"/>
      <c r="FWG10" s="34"/>
      <c r="FWH10" s="34"/>
      <c r="FWI10" s="34"/>
      <c r="FWJ10" s="34"/>
      <c r="FWK10" s="34"/>
      <c r="FWL10" s="34"/>
      <c r="FWM10" s="34"/>
      <c r="FWN10" s="34"/>
      <c r="FWO10" s="34"/>
      <c r="FWP10" s="34"/>
      <c r="FWQ10" s="34"/>
      <c r="FWR10" s="34"/>
      <c r="FWS10" s="34"/>
      <c r="FWT10" s="34"/>
      <c r="FWU10" s="34"/>
      <c r="FWV10" s="34"/>
      <c r="FWW10" s="34"/>
      <c r="FWX10" s="34"/>
      <c r="FWY10" s="34"/>
      <c r="FWZ10" s="34"/>
      <c r="FXA10" s="34"/>
      <c r="FXB10" s="34"/>
      <c r="FXC10" s="34"/>
      <c r="FXD10" s="34"/>
      <c r="FXE10" s="34"/>
      <c r="FXF10" s="34"/>
      <c r="FXG10" s="34"/>
      <c r="FXH10" s="34"/>
      <c r="FXI10" s="34"/>
      <c r="FXJ10" s="34"/>
      <c r="FXK10" s="34"/>
      <c r="FXL10" s="34"/>
      <c r="FXM10" s="34"/>
      <c r="FXN10" s="34"/>
      <c r="FXO10" s="34"/>
      <c r="FXP10" s="34"/>
      <c r="FXQ10" s="34"/>
      <c r="FXR10" s="34"/>
      <c r="FXS10" s="34"/>
      <c r="FXT10" s="34"/>
      <c r="FXU10" s="34"/>
      <c r="FXV10" s="34"/>
      <c r="FXW10" s="34"/>
      <c r="FXX10" s="34"/>
      <c r="FXY10" s="34"/>
      <c r="FXZ10" s="34"/>
      <c r="FYA10" s="34"/>
      <c r="FYB10" s="34"/>
      <c r="FYC10" s="34"/>
      <c r="FYD10" s="34"/>
      <c r="FYE10" s="34"/>
      <c r="FYF10" s="34"/>
      <c r="FYG10" s="34"/>
      <c r="FYH10" s="34"/>
      <c r="FYI10" s="34"/>
      <c r="FYJ10" s="34"/>
      <c r="FYK10" s="34"/>
      <c r="FYL10" s="34"/>
      <c r="FYM10" s="34"/>
      <c r="FYN10" s="34"/>
      <c r="FYO10" s="34"/>
      <c r="FYP10" s="34"/>
      <c r="FYQ10" s="34"/>
      <c r="FYR10" s="34"/>
      <c r="FYS10" s="34"/>
      <c r="FYT10" s="34"/>
      <c r="FYU10" s="34"/>
      <c r="FYV10" s="34"/>
      <c r="FYW10" s="34"/>
      <c r="FYX10" s="34"/>
      <c r="FYY10" s="34"/>
      <c r="FYZ10" s="34"/>
      <c r="FZA10" s="34"/>
      <c r="FZB10" s="34"/>
      <c r="FZC10" s="34"/>
      <c r="FZD10" s="34"/>
      <c r="FZE10" s="34"/>
      <c r="FZF10" s="34"/>
      <c r="FZG10" s="34"/>
      <c r="FZH10" s="34"/>
      <c r="FZI10" s="34"/>
      <c r="FZJ10" s="34"/>
      <c r="FZK10" s="34"/>
      <c r="FZL10" s="34"/>
      <c r="FZM10" s="34"/>
      <c r="FZN10" s="34"/>
      <c r="FZO10" s="34"/>
      <c r="FZP10" s="34"/>
      <c r="FZQ10" s="34"/>
      <c r="FZR10" s="34"/>
      <c r="FZS10" s="34"/>
      <c r="FZT10" s="34"/>
      <c r="FZU10" s="34"/>
      <c r="FZV10" s="34"/>
      <c r="FZW10" s="34"/>
      <c r="FZX10" s="34"/>
      <c r="FZY10" s="34"/>
      <c r="FZZ10" s="34"/>
      <c r="GAA10" s="34"/>
      <c r="GAB10" s="34"/>
      <c r="GAC10" s="34"/>
      <c r="GAD10" s="34"/>
      <c r="GAE10" s="34"/>
      <c r="GAF10" s="34"/>
      <c r="GAG10" s="34"/>
      <c r="GAH10" s="34"/>
      <c r="GAI10" s="34"/>
      <c r="GAJ10" s="34"/>
      <c r="GAK10" s="34"/>
      <c r="GAL10" s="34"/>
      <c r="GAM10" s="34"/>
      <c r="GAN10" s="34"/>
      <c r="GAO10" s="34"/>
      <c r="GAP10" s="34"/>
      <c r="GAQ10" s="34"/>
      <c r="GAR10" s="34"/>
      <c r="GAS10" s="34"/>
      <c r="GAT10" s="34"/>
      <c r="GAU10" s="34"/>
      <c r="GAV10" s="34"/>
      <c r="GAW10" s="34"/>
      <c r="GAX10" s="34"/>
      <c r="GAY10" s="34"/>
      <c r="GAZ10" s="34"/>
      <c r="GBA10" s="34"/>
      <c r="GBB10" s="34"/>
      <c r="GBC10" s="34"/>
      <c r="GBD10" s="34"/>
      <c r="GBE10" s="34"/>
      <c r="GBF10" s="34"/>
      <c r="GBG10" s="34"/>
      <c r="GBH10" s="34"/>
      <c r="GBI10" s="34"/>
      <c r="GBJ10" s="34"/>
      <c r="GBK10" s="34"/>
      <c r="GBL10" s="34"/>
      <c r="GBM10" s="34"/>
      <c r="GBN10" s="34"/>
      <c r="GBO10" s="34"/>
      <c r="GBP10" s="34"/>
      <c r="GBQ10" s="34"/>
      <c r="GBR10" s="34"/>
      <c r="GBS10" s="34"/>
      <c r="GBT10" s="34"/>
      <c r="GBU10" s="34"/>
      <c r="GBV10" s="34"/>
      <c r="GBW10" s="34"/>
      <c r="GBX10" s="34"/>
      <c r="GBY10" s="34"/>
      <c r="GBZ10" s="34"/>
      <c r="GCA10" s="34"/>
      <c r="GCB10" s="34"/>
      <c r="GCC10" s="34"/>
      <c r="GCD10" s="34"/>
      <c r="GCE10" s="34"/>
      <c r="GCF10" s="34"/>
      <c r="GCG10" s="34"/>
      <c r="GCH10" s="34"/>
      <c r="GCI10" s="34"/>
      <c r="GCJ10" s="34"/>
      <c r="GCK10" s="34"/>
      <c r="GCL10" s="34"/>
      <c r="GCM10" s="34"/>
      <c r="GCN10" s="34"/>
      <c r="GCO10" s="34"/>
      <c r="GCP10" s="34"/>
      <c r="GCQ10" s="34"/>
      <c r="GCR10" s="34"/>
      <c r="GCS10" s="34"/>
      <c r="GCT10" s="34"/>
      <c r="GCU10" s="34"/>
      <c r="GCV10" s="34"/>
      <c r="GCW10" s="34"/>
      <c r="GCX10" s="34"/>
      <c r="GCY10" s="34"/>
      <c r="GCZ10" s="34"/>
      <c r="GDA10" s="34"/>
      <c r="GDB10" s="34"/>
      <c r="GDC10" s="34"/>
      <c r="GDD10" s="34"/>
      <c r="GDE10" s="34"/>
      <c r="GDF10" s="34"/>
      <c r="GDG10" s="34"/>
      <c r="GDH10" s="34"/>
      <c r="GDI10" s="34"/>
      <c r="GDJ10" s="34"/>
      <c r="GDK10" s="34"/>
      <c r="GDL10" s="34"/>
      <c r="GDM10" s="34"/>
      <c r="GDN10" s="34"/>
      <c r="GDO10" s="34"/>
      <c r="GDP10" s="34"/>
      <c r="GDQ10" s="34"/>
      <c r="GDR10" s="34"/>
      <c r="GDS10" s="34"/>
      <c r="GDT10" s="34"/>
      <c r="GDU10" s="34"/>
      <c r="GDV10" s="34"/>
      <c r="GDW10" s="34"/>
      <c r="GDX10" s="34"/>
      <c r="GDY10" s="34"/>
      <c r="GDZ10" s="34"/>
      <c r="GEA10" s="34"/>
      <c r="GEB10" s="34"/>
      <c r="GEC10" s="34"/>
      <c r="GED10" s="34"/>
      <c r="GEE10" s="34"/>
      <c r="GEF10" s="34"/>
      <c r="GEG10" s="34"/>
      <c r="GEH10" s="34"/>
      <c r="GEI10" s="34"/>
      <c r="GEJ10" s="34"/>
      <c r="GEK10" s="34"/>
      <c r="GEL10" s="34"/>
      <c r="GEM10" s="34"/>
      <c r="GEN10" s="34"/>
      <c r="GEO10" s="34"/>
      <c r="GEP10" s="34"/>
      <c r="GEQ10" s="34"/>
      <c r="GER10" s="34"/>
      <c r="GES10" s="34"/>
      <c r="GET10" s="34"/>
      <c r="GEU10" s="34"/>
      <c r="GEV10" s="34"/>
      <c r="GEW10" s="34"/>
      <c r="GEX10" s="34"/>
      <c r="GEY10" s="34"/>
      <c r="GEZ10" s="34"/>
      <c r="GFA10" s="34"/>
      <c r="GFB10" s="34"/>
      <c r="GFC10" s="34"/>
      <c r="GFD10" s="34"/>
      <c r="GFE10" s="34"/>
      <c r="GFF10" s="34"/>
      <c r="GFG10" s="34"/>
      <c r="GFH10" s="34"/>
      <c r="GFI10" s="34"/>
      <c r="GFJ10" s="34"/>
      <c r="GFK10" s="34"/>
      <c r="GFL10" s="34"/>
      <c r="GFM10" s="34"/>
      <c r="GFN10" s="34"/>
      <c r="GFO10" s="34"/>
      <c r="GFP10" s="34"/>
      <c r="GFQ10" s="34"/>
      <c r="GFR10" s="34"/>
      <c r="GFS10" s="34"/>
      <c r="GFT10" s="34"/>
      <c r="GFU10" s="34"/>
      <c r="GFV10" s="34"/>
      <c r="GFW10" s="34"/>
      <c r="GFX10" s="34"/>
      <c r="GFY10" s="34"/>
      <c r="GFZ10" s="34"/>
      <c r="GGA10" s="34"/>
      <c r="GGB10" s="34"/>
      <c r="GGC10" s="34"/>
      <c r="GGD10" s="34"/>
      <c r="GGE10" s="34"/>
      <c r="GGF10" s="34"/>
      <c r="GGG10" s="34"/>
      <c r="GGH10" s="34"/>
      <c r="GGI10" s="34"/>
      <c r="GGJ10" s="34"/>
      <c r="GGK10" s="34"/>
      <c r="GGL10" s="34"/>
      <c r="GGM10" s="34"/>
      <c r="GGN10" s="34"/>
      <c r="GGO10" s="34"/>
      <c r="GGP10" s="34"/>
      <c r="GGQ10" s="34"/>
      <c r="GGR10" s="34"/>
      <c r="GGS10" s="34"/>
      <c r="GGT10" s="34"/>
      <c r="GGU10" s="34"/>
      <c r="GGV10" s="34"/>
      <c r="GGW10" s="34"/>
      <c r="GGX10" s="34"/>
      <c r="GGY10" s="34"/>
      <c r="GGZ10" s="34"/>
      <c r="GHA10" s="34"/>
      <c r="GHB10" s="34"/>
      <c r="GHC10" s="34"/>
      <c r="GHD10" s="34"/>
      <c r="GHE10" s="34"/>
      <c r="GHF10" s="34"/>
      <c r="GHG10" s="34"/>
      <c r="GHH10" s="34"/>
      <c r="GHI10" s="34"/>
      <c r="GHJ10" s="34"/>
      <c r="GHK10" s="34"/>
      <c r="GHL10" s="34"/>
      <c r="GHM10" s="34"/>
      <c r="GHN10" s="34"/>
      <c r="GHO10" s="34"/>
      <c r="GHP10" s="34"/>
      <c r="GHQ10" s="34"/>
      <c r="GHR10" s="34"/>
      <c r="GHS10" s="34"/>
      <c r="GHT10" s="34"/>
      <c r="GHU10" s="34"/>
      <c r="GHV10" s="34"/>
      <c r="GHW10" s="34"/>
      <c r="GHX10" s="34"/>
      <c r="GHY10" s="34"/>
      <c r="GHZ10" s="34"/>
      <c r="GIA10" s="34"/>
      <c r="GIB10" s="34"/>
      <c r="GIC10" s="34"/>
      <c r="GID10" s="34"/>
      <c r="GIE10" s="34"/>
      <c r="GIF10" s="34"/>
      <c r="GIG10" s="34"/>
      <c r="GIH10" s="34"/>
      <c r="GII10" s="34"/>
      <c r="GIJ10" s="34"/>
      <c r="GIK10" s="34"/>
      <c r="GIL10" s="34"/>
      <c r="GIM10" s="34"/>
      <c r="GIN10" s="34"/>
      <c r="GIO10" s="34"/>
      <c r="GIP10" s="34"/>
      <c r="GIQ10" s="34"/>
      <c r="GIR10" s="34"/>
      <c r="GIS10" s="34"/>
      <c r="GIT10" s="34"/>
      <c r="GIU10" s="34"/>
      <c r="GIV10" s="34"/>
      <c r="GIW10" s="34"/>
      <c r="GIX10" s="34"/>
      <c r="GIY10" s="34"/>
      <c r="GIZ10" s="34"/>
      <c r="GJA10" s="34"/>
      <c r="GJB10" s="34"/>
      <c r="GJC10" s="34"/>
      <c r="GJD10" s="34"/>
      <c r="GJE10" s="34"/>
      <c r="GJF10" s="34"/>
      <c r="GJG10" s="34"/>
      <c r="GJH10" s="34"/>
      <c r="GJI10" s="34"/>
      <c r="GJJ10" s="34"/>
      <c r="GJK10" s="34"/>
      <c r="GJL10" s="34"/>
      <c r="GJM10" s="34"/>
      <c r="GJN10" s="34"/>
      <c r="GJO10" s="34"/>
      <c r="GJP10" s="34"/>
      <c r="GJQ10" s="34"/>
      <c r="GJR10" s="34"/>
      <c r="GJS10" s="34"/>
      <c r="GJT10" s="34"/>
      <c r="GJU10" s="34"/>
      <c r="GJV10" s="34"/>
      <c r="GJW10" s="34"/>
      <c r="GJX10" s="34"/>
      <c r="GJY10" s="34"/>
      <c r="GJZ10" s="34"/>
      <c r="GKA10" s="34"/>
      <c r="GKB10" s="34"/>
      <c r="GKC10" s="34"/>
      <c r="GKD10" s="34"/>
      <c r="GKE10" s="34"/>
      <c r="GKF10" s="34"/>
      <c r="GKG10" s="34"/>
      <c r="GKH10" s="34"/>
      <c r="GKI10" s="34"/>
      <c r="GKJ10" s="34"/>
      <c r="GKK10" s="34"/>
      <c r="GKL10" s="34"/>
      <c r="GKM10" s="34"/>
      <c r="GKN10" s="34"/>
      <c r="GKO10" s="34"/>
      <c r="GKP10" s="34"/>
      <c r="GKQ10" s="34"/>
      <c r="GKR10" s="34"/>
      <c r="GKS10" s="34"/>
      <c r="GKT10" s="34"/>
      <c r="GKU10" s="34"/>
      <c r="GKV10" s="34"/>
      <c r="GKW10" s="34"/>
      <c r="GKX10" s="34"/>
      <c r="GKY10" s="34"/>
      <c r="GKZ10" s="34"/>
      <c r="GLA10" s="34"/>
      <c r="GLB10" s="34"/>
      <c r="GLC10" s="34"/>
      <c r="GLD10" s="34"/>
      <c r="GLE10" s="34"/>
      <c r="GLF10" s="34"/>
      <c r="GLG10" s="34"/>
      <c r="GLH10" s="34"/>
      <c r="GLI10" s="34"/>
      <c r="GLJ10" s="34"/>
      <c r="GLK10" s="34"/>
      <c r="GLL10" s="34"/>
      <c r="GLM10" s="34"/>
      <c r="GLN10" s="34"/>
      <c r="GLO10" s="34"/>
      <c r="GLP10" s="34"/>
      <c r="GLQ10" s="34"/>
      <c r="GLR10" s="34"/>
      <c r="GLS10" s="34"/>
      <c r="GLT10" s="34"/>
      <c r="GLU10" s="34"/>
      <c r="GLV10" s="34"/>
      <c r="GLW10" s="34"/>
      <c r="GLX10" s="34"/>
      <c r="GLY10" s="34"/>
      <c r="GLZ10" s="34"/>
      <c r="GMA10" s="34"/>
      <c r="GMB10" s="34"/>
      <c r="GMC10" s="34"/>
      <c r="GMD10" s="34"/>
      <c r="GME10" s="34"/>
      <c r="GMF10" s="34"/>
      <c r="GMG10" s="34"/>
      <c r="GMH10" s="34"/>
      <c r="GMI10" s="34"/>
      <c r="GMJ10" s="34"/>
      <c r="GMK10" s="34"/>
      <c r="GML10" s="34"/>
      <c r="GMM10" s="34"/>
      <c r="GMN10" s="34"/>
      <c r="GMO10" s="34"/>
      <c r="GMP10" s="34"/>
      <c r="GMQ10" s="34"/>
      <c r="GMR10" s="34"/>
      <c r="GMS10" s="34"/>
      <c r="GMT10" s="34"/>
      <c r="GMU10" s="34"/>
      <c r="GMV10" s="34"/>
      <c r="GMW10" s="34"/>
      <c r="GMX10" s="34"/>
      <c r="GMY10" s="34"/>
      <c r="GMZ10" s="34"/>
      <c r="GNA10" s="34"/>
      <c r="GNB10" s="34"/>
      <c r="GNC10" s="34"/>
      <c r="GND10" s="34"/>
      <c r="GNE10" s="34"/>
      <c r="GNF10" s="34"/>
      <c r="GNG10" s="34"/>
      <c r="GNH10" s="34"/>
      <c r="GNI10" s="34"/>
      <c r="GNJ10" s="34"/>
      <c r="GNK10" s="34"/>
      <c r="GNL10" s="34"/>
      <c r="GNM10" s="34"/>
      <c r="GNN10" s="34"/>
      <c r="GNO10" s="34"/>
      <c r="GNP10" s="34"/>
      <c r="GNQ10" s="34"/>
      <c r="GNR10" s="34"/>
      <c r="GNS10" s="34"/>
      <c r="GNT10" s="34"/>
      <c r="GNU10" s="34"/>
      <c r="GNV10" s="34"/>
      <c r="GNW10" s="34"/>
      <c r="GNX10" s="34"/>
      <c r="GNY10" s="34"/>
      <c r="GNZ10" s="34"/>
      <c r="GOA10" s="34"/>
      <c r="GOB10" s="34"/>
      <c r="GOC10" s="34"/>
      <c r="GOD10" s="34"/>
      <c r="GOE10" s="34"/>
      <c r="GOF10" s="34"/>
      <c r="GOG10" s="34"/>
      <c r="GOH10" s="34"/>
      <c r="GOI10" s="34"/>
      <c r="GOJ10" s="34"/>
      <c r="GOK10" s="34"/>
      <c r="GOL10" s="34"/>
      <c r="GOM10" s="34"/>
      <c r="GON10" s="34"/>
      <c r="GOO10" s="34"/>
      <c r="GOP10" s="34"/>
      <c r="GOQ10" s="34"/>
      <c r="GOR10" s="34"/>
      <c r="GOS10" s="34"/>
      <c r="GOT10" s="34"/>
      <c r="GOU10" s="34"/>
      <c r="GOV10" s="34"/>
      <c r="GOW10" s="34"/>
      <c r="GOX10" s="34"/>
      <c r="GOY10" s="34"/>
      <c r="GOZ10" s="34"/>
      <c r="GPA10" s="34"/>
      <c r="GPB10" s="34"/>
      <c r="GPC10" s="34"/>
      <c r="GPD10" s="34"/>
      <c r="GPE10" s="34"/>
      <c r="GPF10" s="34"/>
      <c r="GPG10" s="34"/>
      <c r="GPH10" s="34"/>
      <c r="GPI10" s="34"/>
      <c r="GPJ10" s="34"/>
      <c r="GPK10" s="34"/>
      <c r="GPL10" s="34"/>
      <c r="GPM10" s="34"/>
      <c r="GPN10" s="34"/>
      <c r="GPO10" s="34"/>
      <c r="GPP10" s="34"/>
      <c r="GPQ10" s="34"/>
      <c r="GPR10" s="34"/>
      <c r="GPS10" s="34"/>
      <c r="GPT10" s="34"/>
      <c r="GPU10" s="34"/>
      <c r="GPV10" s="34"/>
      <c r="GPW10" s="34"/>
      <c r="GPX10" s="34"/>
      <c r="GPY10" s="34"/>
      <c r="GPZ10" s="34"/>
      <c r="GQA10" s="34"/>
      <c r="GQB10" s="34"/>
      <c r="GQC10" s="34"/>
      <c r="GQD10" s="34"/>
      <c r="GQE10" s="34"/>
      <c r="GQF10" s="34"/>
      <c r="GQG10" s="34"/>
      <c r="GQH10" s="34"/>
      <c r="GQI10" s="34"/>
      <c r="GQJ10" s="34"/>
      <c r="GQK10" s="34"/>
      <c r="GQL10" s="34"/>
      <c r="GQM10" s="34"/>
      <c r="GQN10" s="34"/>
      <c r="GQO10" s="34"/>
      <c r="GQP10" s="34"/>
      <c r="GQQ10" s="34"/>
      <c r="GQR10" s="34"/>
      <c r="GQS10" s="34"/>
      <c r="GQT10" s="34"/>
      <c r="GQU10" s="34"/>
      <c r="GQV10" s="34"/>
      <c r="GQW10" s="34"/>
      <c r="GQX10" s="34"/>
      <c r="GQY10" s="34"/>
      <c r="GQZ10" s="34"/>
      <c r="GRA10" s="34"/>
      <c r="GRB10" s="34"/>
      <c r="GRC10" s="34"/>
      <c r="GRD10" s="34"/>
      <c r="GRE10" s="34"/>
      <c r="GRF10" s="34"/>
      <c r="GRG10" s="34"/>
      <c r="GRH10" s="34"/>
      <c r="GRI10" s="34"/>
      <c r="GRJ10" s="34"/>
      <c r="GRK10" s="34"/>
      <c r="GRL10" s="34"/>
      <c r="GRM10" s="34"/>
      <c r="GRN10" s="34"/>
      <c r="GRO10" s="34"/>
      <c r="GRP10" s="34"/>
      <c r="GRQ10" s="34"/>
      <c r="GRR10" s="34"/>
      <c r="GRS10" s="34"/>
      <c r="GRT10" s="34"/>
      <c r="GRU10" s="34"/>
      <c r="GRV10" s="34"/>
      <c r="GRW10" s="34"/>
      <c r="GRX10" s="34"/>
      <c r="GRY10" s="34"/>
      <c r="GRZ10" s="34"/>
      <c r="GSA10" s="34"/>
      <c r="GSB10" s="34"/>
      <c r="GSC10" s="34"/>
      <c r="GSD10" s="34"/>
      <c r="GSE10" s="34"/>
      <c r="GSF10" s="34"/>
      <c r="GSG10" s="34"/>
      <c r="GSH10" s="34"/>
      <c r="GSI10" s="34"/>
      <c r="GSJ10" s="34"/>
      <c r="GSK10" s="34"/>
      <c r="GSL10" s="34"/>
      <c r="GSM10" s="34"/>
      <c r="GSN10" s="34"/>
      <c r="GSO10" s="34"/>
      <c r="GSP10" s="34"/>
      <c r="GSQ10" s="34"/>
      <c r="GSR10" s="34"/>
      <c r="GSS10" s="34"/>
      <c r="GST10" s="34"/>
      <c r="GSU10" s="34"/>
      <c r="GSV10" s="34"/>
      <c r="GSW10" s="34"/>
      <c r="GSX10" s="34"/>
      <c r="GSY10" s="34"/>
      <c r="GSZ10" s="34"/>
      <c r="GTA10" s="34"/>
      <c r="GTB10" s="34"/>
      <c r="GTC10" s="34"/>
      <c r="GTD10" s="34"/>
      <c r="GTE10" s="34"/>
      <c r="GTF10" s="34"/>
      <c r="GTG10" s="34"/>
      <c r="GTH10" s="34"/>
      <c r="GTI10" s="34"/>
      <c r="GTJ10" s="34"/>
      <c r="GTK10" s="34"/>
      <c r="GTL10" s="34"/>
      <c r="GTM10" s="34"/>
      <c r="GTN10" s="34"/>
      <c r="GTO10" s="34"/>
      <c r="GTP10" s="34"/>
      <c r="GTQ10" s="34"/>
      <c r="GTR10" s="34"/>
      <c r="GTS10" s="34"/>
      <c r="GTT10" s="34"/>
      <c r="GTU10" s="34"/>
      <c r="GTV10" s="34"/>
      <c r="GTW10" s="34"/>
      <c r="GTX10" s="34"/>
      <c r="GTY10" s="34"/>
      <c r="GTZ10" s="34"/>
      <c r="GUA10" s="34"/>
      <c r="GUB10" s="34"/>
      <c r="GUC10" s="34"/>
      <c r="GUD10" s="34"/>
      <c r="GUE10" s="34"/>
      <c r="GUF10" s="34"/>
      <c r="GUG10" s="34"/>
      <c r="GUH10" s="34"/>
      <c r="GUI10" s="34"/>
      <c r="GUJ10" s="34"/>
      <c r="GUK10" s="34"/>
      <c r="GUL10" s="34"/>
      <c r="GUM10" s="34"/>
      <c r="GUN10" s="34"/>
      <c r="GUO10" s="34"/>
      <c r="GUP10" s="34"/>
      <c r="GUQ10" s="34"/>
      <c r="GUR10" s="34"/>
      <c r="GUS10" s="34"/>
      <c r="GUT10" s="34"/>
      <c r="GUU10" s="34"/>
      <c r="GUV10" s="34"/>
      <c r="GUW10" s="34"/>
      <c r="GUX10" s="34"/>
      <c r="GUY10" s="34"/>
      <c r="GUZ10" s="34"/>
      <c r="GVA10" s="34"/>
      <c r="GVB10" s="34"/>
      <c r="GVC10" s="34"/>
      <c r="GVD10" s="34"/>
      <c r="GVE10" s="34"/>
      <c r="GVF10" s="34"/>
      <c r="GVG10" s="34"/>
      <c r="GVH10" s="34"/>
      <c r="GVI10" s="34"/>
      <c r="GVJ10" s="34"/>
      <c r="GVK10" s="34"/>
      <c r="GVL10" s="34"/>
      <c r="GVM10" s="34"/>
      <c r="GVN10" s="34"/>
      <c r="GVO10" s="34"/>
      <c r="GVP10" s="34"/>
      <c r="GVQ10" s="34"/>
      <c r="GVR10" s="34"/>
      <c r="GVS10" s="34"/>
      <c r="GVT10" s="34"/>
      <c r="GVU10" s="34"/>
      <c r="GVV10" s="34"/>
      <c r="GVW10" s="34"/>
      <c r="GVX10" s="34"/>
      <c r="GVY10" s="34"/>
      <c r="GVZ10" s="34"/>
      <c r="GWA10" s="34"/>
      <c r="GWB10" s="34"/>
      <c r="GWC10" s="34"/>
      <c r="GWD10" s="34"/>
      <c r="GWE10" s="34"/>
      <c r="GWF10" s="34"/>
      <c r="GWG10" s="34"/>
      <c r="GWH10" s="34"/>
      <c r="GWI10" s="34"/>
      <c r="GWJ10" s="34"/>
      <c r="GWK10" s="34"/>
      <c r="GWL10" s="34"/>
      <c r="GWM10" s="34"/>
      <c r="GWN10" s="34"/>
      <c r="GWO10" s="34"/>
      <c r="GWP10" s="34"/>
      <c r="GWQ10" s="34"/>
      <c r="GWR10" s="34"/>
      <c r="GWS10" s="34"/>
      <c r="GWT10" s="34"/>
      <c r="GWU10" s="34"/>
      <c r="GWV10" s="34"/>
      <c r="GWW10" s="34"/>
      <c r="GWX10" s="34"/>
      <c r="GWY10" s="34"/>
      <c r="GWZ10" s="34"/>
      <c r="GXA10" s="34"/>
      <c r="GXB10" s="34"/>
      <c r="GXC10" s="34"/>
      <c r="GXD10" s="34"/>
      <c r="GXE10" s="34"/>
      <c r="GXF10" s="34"/>
      <c r="GXG10" s="34"/>
      <c r="GXH10" s="34"/>
      <c r="GXI10" s="34"/>
      <c r="GXJ10" s="34"/>
      <c r="GXK10" s="34"/>
      <c r="GXL10" s="34"/>
      <c r="GXM10" s="34"/>
      <c r="GXN10" s="34"/>
      <c r="GXO10" s="34"/>
      <c r="GXP10" s="34"/>
      <c r="GXQ10" s="34"/>
      <c r="GXR10" s="34"/>
      <c r="GXS10" s="34"/>
      <c r="GXT10" s="34"/>
      <c r="GXU10" s="34"/>
      <c r="GXV10" s="34"/>
      <c r="GXW10" s="34"/>
      <c r="GXX10" s="34"/>
      <c r="GXY10" s="34"/>
      <c r="GXZ10" s="34"/>
      <c r="GYA10" s="34"/>
      <c r="GYB10" s="34"/>
      <c r="GYC10" s="34"/>
      <c r="GYD10" s="34"/>
      <c r="GYE10" s="34"/>
      <c r="GYF10" s="34"/>
      <c r="GYG10" s="34"/>
      <c r="GYH10" s="34"/>
      <c r="GYI10" s="34"/>
      <c r="GYJ10" s="34"/>
      <c r="GYK10" s="34"/>
      <c r="GYL10" s="34"/>
      <c r="GYM10" s="34"/>
      <c r="GYN10" s="34"/>
      <c r="GYO10" s="34"/>
      <c r="GYP10" s="34"/>
      <c r="GYQ10" s="34"/>
      <c r="GYR10" s="34"/>
      <c r="GYS10" s="34"/>
      <c r="GYT10" s="34"/>
      <c r="GYU10" s="34"/>
      <c r="GYV10" s="34"/>
      <c r="GYW10" s="34"/>
      <c r="GYX10" s="34"/>
      <c r="GYY10" s="34"/>
      <c r="GYZ10" s="34"/>
      <c r="GZA10" s="34"/>
      <c r="GZB10" s="34"/>
      <c r="GZC10" s="34"/>
      <c r="GZD10" s="34"/>
      <c r="GZE10" s="34"/>
      <c r="GZF10" s="34"/>
      <c r="GZG10" s="34"/>
      <c r="GZH10" s="34"/>
      <c r="GZI10" s="34"/>
      <c r="GZJ10" s="34"/>
      <c r="GZK10" s="34"/>
      <c r="GZL10" s="34"/>
      <c r="GZM10" s="34"/>
      <c r="GZN10" s="34"/>
      <c r="GZO10" s="34"/>
      <c r="GZP10" s="34"/>
      <c r="GZQ10" s="34"/>
      <c r="GZR10" s="34"/>
      <c r="GZS10" s="34"/>
      <c r="GZT10" s="34"/>
      <c r="GZU10" s="34"/>
      <c r="GZV10" s="34"/>
      <c r="GZW10" s="34"/>
      <c r="GZX10" s="34"/>
      <c r="GZY10" s="34"/>
      <c r="GZZ10" s="34"/>
      <c r="HAA10" s="34"/>
      <c r="HAB10" s="34"/>
      <c r="HAC10" s="34"/>
      <c r="HAD10" s="34"/>
      <c r="HAE10" s="34"/>
      <c r="HAF10" s="34"/>
      <c r="HAG10" s="34"/>
      <c r="HAH10" s="34"/>
      <c r="HAI10" s="34"/>
      <c r="HAJ10" s="34"/>
      <c r="HAK10" s="34"/>
      <c r="HAL10" s="34"/>
      <c r="HAM10" s="34"/>
      <c r="HAN10" s="34"/>
      <c r="HAO10" s="34"/>
      <c r="HAP10" s="34"/>
      <c r="HAQ10" s="34"/>
      <c r="HAR10" s="34"/>
      <c r="HAS10" s="34"/>
      <c r="HAT10" s="34"/>
      <c r="HAU10" s="34"/>
      <c r="HAV10" s="34"/>
      <c r="HAW10" s="34"/>
      <c r="HAX10" s="34"/>
      <c r="HAY10" s="34"/>
      <c r="HAZ10" s="34"/>
      <c r="HBA10" s="34"/>
      <c r="HBB10" s="34"/>
      <c r="HBC10" s="34"/>
      <c r="HBD10" s="34"/>
      <c r="HBE10" s="34"/>
      <c r="HBF10" s="34"/>
      <c r="HBG10" s="34"/>
      <c r="HBH10" s="34"/>
      <c r="HBI10" s="34"/>
      <c r="HBJ10" s="34"/>
      <c r="HBK10" s="34"/>
      <c r="HBL10" s="34"/>
      <c r="HBM10" s="34"/>
      <c r="HBN10" s="34"/>
      <c r="HBO10" s="34"/>
      <c r="HBP10" s="34"/>
      <c r="HBQ10" s="34"/>
      <c r="HBR10" s="34"/>
      <c r="HBS10" s="34"/>
      <c r="HBT10" s="34"/>
      <c r="HBU10" s="34"/>
      <c r="HBV10" s="34"/>
      <c r="HBW10" s="34"/>
      <c r="HBX10" s="34"/>
      <c r="HBY10" s="34"/>
      <c r="HBZ10" s="34"/>
      <c r="HCA10" s="34"/>
      <c r="HCB10" s="34"/>
      <c r="HCC10" s="34"/>
      <c r="HCD10" s="34"/>
      <c r="HCE10" s="34"/>
      <c r="HCF10" s="34"/>
      <c r="HCG10" s="34"/>
      <c r="HCH10" s="34"/>
      <c r="HCI10" s="34"/>
      <c r="HCJ10" s="34"/>
      <c r="HCK10" s="34"/>
      <c r="HCL10" s="34"/>
      <c r="HCM10" s="34"/>
      <c r="HCN10" s="34"/>
      <c r="HCO10" s="34"/>
      <c r="HCP10" s="34"/>
      <c r="HCQ10" s="34"/>
      <c r="HCR10" s="34"/>
      <c r="HCS10" s="34"/>
      <c r="HCT10" s="34"/>
      <c r="HCU10" s="34"/>
      <c r="HCV10" s="34"/>
      <c r="HCW10" s="34"/>
      <c r="HCX10" s="34"/>
      <c r="HCY10" s="34"/>
      <c r="HCZ10" s="34"/>
      <c r="HDA10" s="34"/>
      <c r="HDB10" s="34"/>
      <c r="HDC10" s="34"/>
      <c r="HDD10" s="34"/>
      <c r="HDE10" s="34"/>
      <c r="HDF10" s="34"/>
      <c r="HDG10" s="34"/>
      <c r="HDH10" s="34"/>
      <c r="HDI10" s="34"/>
      <c r="HDJ10" s="34"/>
      <c r="HDK10" s="34"/>
      <c r="HDL10" s="34"/>
      <c r="HDM10" s="34"/>
      <c r="HDN10" s="34"/>
      <c r="HDO10" s="34"/>
      <c r="HDP10" s="34"/>
      <c r="HDQ10" s="34"/>
      <c r="HDR10" s="34"/>
      <c r="HDS10" s="34"/>
      <c r="HDT10" s="34"/>
      <c r="HDU10" s="34"/>
      <c r="HDV10" s="34"/>
      <c r="HDW10" s="34"/>
      <c r="HDX10" s="34"/>
      <c r="HDY10" s="34"/>
      <c r="HDZ10" s="34"/>
      <c r="HEA10" s="34"/>
      <c r="HEB10" s="34"/>
      <c r="HEC10" s="34"/>
      <c r="HED10" s="34"/>
      <c r="HEE10" s="34"/>
      <c r="HEF10" s="34"/>
      <c r="HEG10" s="34"/>
      <c r="HEH10" s="34"/>
      <c r="HEI10" s="34"/>
      <c r="HEJ10" s="34"/>
      <c r="HEK10" s="34"/>
      <c r="HEL10" s="34"/>
      <c r="HEM10" s="34"/>
      <c r="HEN10" s="34"/>
      <c r="HEO10" s="34"/>
      <c r="HEP10" s="34"/>
      <c r="HEQ10" s="34"/>
      <c r="HER10" s="34"/>
      <c r="HES10" s="34"/>
      <c r="HET10" s="34"/>
      <c r="HEU10" s="34"/>
      <c r="HEV10" s="34"/>
      <c r="HEW10" s="34"/>
      <c r="HEX10" s="34"/>
      <c r="HEY10" s="34"/>
      <c r="HEZ10" s="34"/>
      <c r="HFA10" s="34"/>
      <c r="HFB10" s="34"/>
      <c r="HFC10" s="34"/>
      <c r="HFD10" s="34"/>
      <c r="HFE10" s="34"/>
      <c r="HFF10" s="34"/>
      <c r="HFG10" s="34"/>
      <c r="HFH10" s="34"/>
      <c r="HFI10" s="34"/>
      <c r="HFJ10" s="34"/>
      <c r="HFK10" s="34"/>
      <c r="HFL10" s="34"/>
      <c r="HFM10" s="34"/>
      <c r="HFN10" s="34"/>
      <c r="HFO10" s="34"/>
      <c r="HFP10" s="34"/>
      <c r="HFQ10" s="34"/>
      <c r="HFR10" s="34"/>
      <c r="HFS10" s="34"/>
      <c r="HFT10" s="34"/>
      <c r="HFU10" s="34"/>
      <c r="HFV10" s="34"/>
      <c r="HFW10" s="34"/>
      <c r="HFX10" s="34"/>
      <c r="HFY10" s="34"/>
      <c r="HFZ10" s="34"/>
      <c r="HGA10" s="34"/>
      <c r="HGB10" s="34"/>
      <c r="HGC10" s="34"/>
      <c r="HGD10" s="34"/>
      <c r="HGE10" s="34"/>
      <c r="HGF10" s="34"/>
      <c r="HGG10" s="34"/>
      <c r="HGH10" s="34"/>
      <c r="HGI10" s="34"/>
      <c r="HGJ10" s="34"/>
      <c r="HGK10" s="34"/>
      <c r="HGL10" s="34"/>
      <c r="HGM10" s="34"/>
      <c r="HGN10" s="34"/>
      <c r="HGO10" s="34"/>
      <c r="HGP10" s="34"/>
      <c r="HGQ10" s="34"/>
      <c r="HGR10" s="34"/>
      <c r="HGS10" s="34"/>
      <c r="HGT10" s="34"/>
      <c r="HGU10" s="34"/>
      <c r="HGV10" s="34"/>
      <c r="HGW10" s="34"/>
      <c r="HGX10" s="34"/>
      <c r="HGY10" s="34"/>
      <c r="HGZ10" s="34"/>
      <c r="HHA10" s="34"/>
      <c r="HHB10" s="34"/>
      <c r="HHC10" s="34"/>
      <c r="HHD10" s="34"/>
      <c r="HHE10" s="34"/>
      <c r="HHF10" s="34"/>
      <c r="HHG10" s="34"/>
      <c r="HHH10" s="34"/>
      <c r="HHI10" s="34"/>
      <c r="HHJ10" s="34"/>
      <c r="HHK10" s="34"/>
      <c r="HHL10" s="34"/>
      <c r="HHM10" s="34"/>
      <c r="HHN10" s="34"/>
      <c r="HHO10" s="34"/>
      <c r="HHP10" s="34"/>
      <c r="HHQ10" s="34"/>
      <c r="HHR10" s="34"/>
      <c r="HHS10" s="34"/>
      <c r="HHT10" s="34"/>
      <c r="HHU10" s="34"/>
      <c r="HHV10" s="34"/>
      <c r="HHW10" s="34"/>
      <c r="HHX10" s="34"/>
      <c r="HHY10" s="34"/>
      <c r="HHZ10" s="34"/>
      <c r="HIA10" s="34"/>
      <c r="HIB10" s="34"/>
      <c r="HIC10" s="34"/>
      <c r="HID10" s="34"/>
      <c r="HIE10" s="34"/>
      <c r="HIF10" s="34"/>
      <c r="HIG10" s="34"/>
      <c r="HIH10" s="34"/>
      <c r="HII10" s="34"/>
      <c r="HIJ10" s="34"/>
      <c r="HIK10" s="34"/>
      <c r="HIL10" s="34"/>
      <c r="HIM10" s="34"/>
      <c r="HIN10" s="34"/>
      <c r="HIO10" s="34"/>
      <c r="HIP10" s="34"/>
      <c r="HIQ10" s="34"/>
      <c r="HIR10" s="34"/>
      <c r="HIS10" s="34"/>
      <c r="HIT10" s="34"/>
      <c r="HIU10" s="34"/>
      <c r="HIV10" s="34"/>
      <c r="HIW10" s="34"/>
      <c r="HIX10" s="34"/>
      <c r="HIY10" s="34"/>
      <c r="HIZ10" s="34"/>
      <c r="HJA10" s="34"/>
      <c r="HJB10" s="34"/>
      <c r="HJC10" s="34"/>
      <c r="HJD10" s="34"/>
      <c r="HJE10" s="34"/>
      <c r="HJF10" s="34"/>
      <c r="HJG10" s="34"/>
      <c r="HJH10" s="34"/>
      <c r="HJI10" s="34"/>
      <c r="HJJ10" s="34"/>
      <c r="HJK10" s="34"/>
      <c r="HJL10" s="34"/>
      <c r="HJM10" s="34"/>
      <c r="HJN10" s="34"/>
      <c r="HJO10" s="34"/>
      <c r="HJP10" s="34"/>
      <c r="HJQ10" s="34"/>
      <c r="HJR10" s="34"/>
      <c r="HJS10" s="34"/>
      <c r="HJT10" s="34"/>
      <c r="HJU10" s="34"/>
      <c r="HJV10" s="34"/>
      <c r="HJW10" s="34"/>
      <c r="HJX10" s="34"/>
      <c r="HJY10" s="34"/>
      <c r="HJZ10" s="34"/>
      <c r="HKA10" s="34"/>
      <c r="HKB10" s="34"/>
      <c r="HKC10" s="34"/>
      <c r="HKD10" s="34"/>
      <c r="HKE10" s="34"/>
      <c r="HKF10" s="34"/>
      <c r="HKG10" s="34"/>
      <c r="HKH10" s="34"/>
      <c r="HKI10" s="34"/>
      <c r="HKJ10" s="34"/>
      <c r="HKK10" s="34"/>
      <c r="HKL10" s="34"/>
      <c r="HKM10" s="34"/>
      <c r="HKN10" s="34"/>
      <c r="HKO10" s="34"/>
      <c r="HKP10" s="34"/>
      <c r="HKQ10" s="34"/>
      <c r="HKR10" s="34"/>
      <c r="HKS10" s="34"/>
      <c r="HKT10" s="34"/>
      <c r="HKU10" s="34"/>
      <c r="HKV10" s="34"/>
      <c r="HKW10" s="34"/>
      <c r="HKX10" s="34"/>
      <c r="HKY10" s="34"/>
      <c r="HKZ10" s="34"/>
      <c r="HLA10" s="34"/>
      <c r="HLB10" s="34"/>
      <c r="HLC10" s="34"/>
      <c r="HLD10" s="34"/>
      <c r="HLE10" s="34"/>
      <c r="HLF10" s="34"/>
      <c r="HLG10" s="34"/>
      <c r="HLH10" s="34"/>
      <c r="HLI10" s="34"/>
      <c r="HLJ10" s="34"/>
      <c r="HLK10" s="34"/>
      <c r="HLL10" s="34"/>
      <c r="HLM10" s="34"/>
      <c r="HLN10" s="34"/>
      <c r="HLO10" s="34"/>
      <c r="HLP10" s="34"/>
      <c r="HLQ10" s="34"/>
      <c r="HLR10" s="34"/>
      <c r="HLS10" s="34"/>
      <c r="HLT10" s="34"/>
      <c r="HLU10" s="34"/>
      <c r="HLV10" s="34"/>
      <c r="HLW10" s="34"/>
      <c r="HLX10" s="34"/>
      <c r="HLY10" s="34"/>
      <c r="HLZ10" s="34"/>
      <c r="HMA10" s="34"/>
      <c r="HMB10" s="34"/>
      <c r="HMC10" s="34"/>
      <c r="HMD10" s="34"/>
      <c r="HME10" s="34"/>
      <c r="HMF10" s="34"/>
      <c r="HMG10" s="34"/>
      <c r="HMH10" s="34"/>
      <c r="HMI10" s="34"/>
      <c r="HMJ10" s="34"/>
      <c r="HMK10" s="34"/>
      <c r="HML10" s="34"/>
      <c r="HMM10" s="34"/>
      <c r="HMN10" s="34"/>
      <c r="HMO10" s="34"/>
      <c r="HMP10" s="34"/>
      <c r="HMQ10" s="34"/>
      <c r="HMR10" s="34"/>
      <c r="HMS10" s="34"/>
      <c r="HMT10" s="34"/>
      <c r="HMU10" s="34"/>
      <c r="HMV10" s="34"/>
      <c r="HMW10" s="34"/>
      <c r="HMX10" s="34"/>
      <c r="HMY10" s="34"/>
      <c r="HMZ10" s="34"/>
      <c r="HNA10" s="34"/>
      <c r="HNB10" s="34"/>
      <c r="HNC10" s="34"/>
      <c r="HND10" s="34"/>
      <c r="HNE10" s="34"/>
      <c r="HNF10" s="34"/>
      <c r="HNG10" s="34"/>
      <c r="HNH10" s="34"/>
      <c r="HNI10" s="34"/>
      <c r="HNJ10" s="34"/>
      <c r="HNK10" s="34"/>
      <c r="HNL10" s="34"/>
      <c r="HNM10" s="34"/>
      <c r="HNN10" s="34"/>
      <c r="HNO10" s="34"/>
      <c r="HNP10" s="34"/>
      <c r="HNQ10" s="34"/>
      <c r="HNR10" s="34"/>
      <c r="HNS10" s="34"/>
      <c r="HNT10" s="34"/>
      <c r="HNU10" s="34"/>
      <c r="HNV10" s="34"/>
      <c r="HNW10" s="34"/>
      <c r="HNX10" s="34"/>
      <c r="HNY10" s="34"/>
      <c r="HNZ10" s="34"/>
      <c r="HOA10" s="34"/>
      <c r="HOB10" s="34"/>
      <c r="HOC10" s="34"/>
      <c r="HOD10" s="34"/>
      <c r="HOE10" s="34"/>
      <c r="HOF10" s="34"/>
      <c r="HOG10" s="34"/>
      <c r="HOH10" s="34"/>
      <c r="HOI10" s="34"/>
      <c r="HOJ10" s="34"/>
      <c r="HOK10" s="34"/>
      <c r="HOL10" s="34"/>
      <c r="HOM10" s="34"/>
      <c r="HON10" s="34"/>
      <c r="HOO10" s="34"/>
      <c r="HOP10" s="34"/>
      <c r="HOQ10" s="34"/>
      <c r="HOR10" s="34"/>
      <c r="HOS10" s="34"/>
      <c r="HOT10" s="34"/>
      <c r="HOU10" s="34"/>
      <c r="HOV10" s="34"/>
      <c r="HOW10" s="34"/>
      <c r="HOX10" s="34"/>
      <c r="HOY10" s="34"/>
      <c r="HOZ10" s="34"/>
      <c r="HPA10" s="34"/>
      <c r="HPB10" s="34"/>
      <c r="HPC10" s="34"/>
      <c r="HPD10" s="34"/>
      <c r="HPE10" s="34"/>
      <c r="HPF10" s="34"/>
      <c r="HPG10" s="34"/>
      <c r="HPH10" s="34"/>
      <c r="HPI10" s="34"/>
      <c r="HPJ10" s="34"/>
      <c r="HPK10" s="34"/>
      <c r="HPL10" s="34"/>
      <c r="HPM10" s="34"/>
      <c r="HPN10" s="34"/>
      <c r="HPO10" s="34"/>
      <c r="HPP10" s="34"/>
      <c r="HPQ10" s="34"/>
      <c r="HPR10" s="34"/>
      <c r="HPS10" s="34"/>
      <c r="HPT10" s="34"/>
      <c r="HPU10" s="34"/>
      <c r="HPV10" s="34"/>
      <c r="HPW10" s="34"/>
      <c r="HPX10" s="34"/>
      <c r="HPY10" s="34"/>
      <c r="HPZ10" s="34"/>
      <c r="HQA10" s="34"/>
      <c r="HQB10" s="34"/>
      <c r="HQC10" s="34"/>
      <c r="HQD10" s="34"/>
      <c r="HQE10" s="34"/>
      <c r="HQF10" s="34"/>
      <c r="HQG10" s="34"/>
      <c r="HQH10" s="34"/>
      <c r="HQI10" s="34"/>
      <c r="HQJ10" s="34"/>
      <c r="HQK10" s="34"/>
      <c r="HQL10" s="34"/>
      <c r="HQM10" s="34"/>
      <c r="HQN10" s="34"/>
      <c r="HQO10" s="34"/>
      <c r="HQP10" s="34"/>
      <c r="HQQ10" s="34"/>
      <c r="HQR10" s="34"/>
      <c r="HQS10" s="34"/>
      <c r="HQT10" s="34"/>
      <c r="HQU10" s="34"/>
      <c r="HQV10" s="34"/>
      <c r="HQW10" s="34"/>
      <c r="HQX10" s="34"/>
      <c r="HQY10" s="34"/>
      <c r="HQZ10" s="34"/>
      <c r="HRA10" s="34"/>
      <c r="HRB10" s="34"/>
      <c r="HRC10" s="34"/>
      <c r="HRD10" s="34"/>
      <c r="HRE10" s="34"/>
      <c r="HRF10" s="34"/>
      <c r="HRG10" s="34"/>
      <c r="HRH10" s="34"/>
      <c r="HRI10" s="34"/>
      <c r="HRJ10" s="34"/>
      <c r="HRK10" s="34"/>
      <c r="HRL10" s="34"/>
      <c r="HRM10" s="34"/>
      <c r="HRN10" s="34"/>
      <c r="HRO10" s="34"/>
      <c r="HRP10" s="34"/>
      <c r="HRQ10" s="34"/>
      <c r="HRR10" s="34"/>
      <c r="HRS10" s="34"/>
      <c r="HRT10" s="34"/>
      <c r="HRU10" s="34"/>
      <c r="HRV10" s="34"/>
      <c r="HRW10" s="34"/>
      <c r="HRX10" s="34"/>
      <c r="HRY10" s="34"/>
      <c r="HRZ10" s="34"/>
      <c r="HSA10" s="34"/>
      <c r="HSB10" s="34"/>
      <c r="HSC10" s="34"/>
      <c r="HSD10" s="34"/>
      <c r="HSE10" s="34"/>
      <c r="HSF10" s="34"/>
      <c r="HSG10" s="34"/>
      <c r="HSH10" s="34"/>
      <c r="HSI10" s="34"/>
      <c r="HSJ10" s="34"/>
      <c r="HSK10" s="34"/>
      <c r="HSL10" s="34"/>
      <c r="HSM10" s="34"/>
      <c r="HSN10" s="34"/>
      <c r="HSO10" s="34"/>
      <c r="HSP10" s="34"/>
      <c r="HSQ10" s="34"/>
      <c r="HSR10" s="34"/>
      <c r="HSS10" s="34"/>
      <c r="HST10" s="34"/>
      <c r="HSU10" s="34"/>
      <c r="HSV10" s="34"/>
      <c r="HSW10" s="34"/>
      <c r="HSX10" s="34"/>
      <c r="HSY10" s="34"/>
      <c r="HSZ10" s="34"/>
      <c r="HTA10" s="34"/>
      <c r="HTB10" s="34"/>
      <c r="HTC10" s="34"/>
      <c r="HTD10" s="34"/>
      <c r="HTE10" s="34"/>
      <c r="HTF10" s="34"/>
      <c r="HTG10" s="34"/>
      <c r="HTH10" s="34"/>
      <c r="HTI10" s="34"/>
      <c r="HTJ10" s="34"/>
      <c r="HTK10" s="34"/>
      <c r="HTL10" s="34"/>
      <c r="HTM10" s="34"/>
      <c r="HTN10" s="34"/>
      <c r="HTO10" s="34"/>
      <c r="HTP10" s="34"/>
      <c r="HTQ10" s="34"/>
      <c r="HTR10" s="34"/>
      <c r="HTS10" s="34"/>
      <c r="HTT10" s="34"/>
      <c r="HTU10" s="34"/>
      <c r="HTV10" s="34"/>
      <c r="HTW10" s="34"/>
      <c r="HTX10" s="34"/>
      <c r="HTY10" s="34"/>
      <c r="HTZ10" s="34"/>
      <c r="HUA10" s="34"/>
      <c r="HUB10" s="34"/>
      <c r="HUC10" s="34"/>
      <c r="HUD10" s="34"/>
      <c r="HUE10" s="34"/>
      <c r="HUF10" s="34"/>
      <c r="HUG10" s="34"/>
      <c r="HUH10" s="34"/>
      <c r="HUI10" s="34"/>
      <c r="HUJ10" s="34"/>
      <c r="HUK10" s="34"/>
      <c r="HUL10" s="34"/>
      <c r="HUM10" s="34"/>
      <c r="HUN10" s="34"/>
      <c r="HUO10" s="34"/>
      <c r="HUP10" s="34"/>
      <c r="HUQ10" s="34"/>
      <c r="HUR10" s="34"/>
      <c r="HUS10" s="34"/>
      <c r="HUT10" s="34"/>
      <c r="HUU10" s="34"/>
      <c r="HUV10" s="34"/>
      <c r="HUW10" s="34"/>
      <c r="HUX10" s="34"/>
      <c r="HUY10" s="34"/>
      <c r="HUZ10" s="34"/>
      <c r="HVA10" s="34"/>
      <c r="HVB10" s="34"/>
      <c r="HVC10" s="34"/>
      <c r="HVD10" s="34"/>
      <c r="HVE10" s="34"/>
      <c r="HVF10" s="34"/>
      <c r="HVG10" s="34"/>
      <c r="HVH10" s="34"/>
      <c r="HVI10" s="34"/>
      <c r="HVJ10" s="34"/>
      <c r="HVK10" s="34"/>
      <c r="HVL10" s="34"/>
      <c r="HVM10" s="34"/>
      <c r="HVN10" s="34"/>
      <c r="HVO10" s="34"/>
      <c r="HVP10" s="34"/>
      <c r="HVQ10" s="34"/>
      <c r="HVR10" s="34"/>
      <c r="HVS10" s="34"/>
      <c r="HVT10" s="34"/>
      <c r="HVU10" s="34"/>
      <c r="HVV10" s="34"/>
      <c r="HVW10" s="34"/>
      <c r="HVX10" s="34"/>
      <c r="HVY10" s="34"/>
      <c r="HVZ10" s="34"/>
      <c r="HWA10" s="34"/>
      <c r="HWB10" s="34"/>
      <c r="HWC10" s="34"/>
      <c r="HWD10" s="34"/>
      <c r="HWE10" s="34"/>
      <c r="HWF10" s="34"/>
      <c r="HWG10" s="34"/>
      <c r="HWH10" s="34"/>
      <c r="HWI10" s="34"/>
      <c r="HWJ10" s="34"/>
      <c r="HWK10" s="34"/>
      <c r="HWL10" s="34"/>
      <c r="HWM10" s="34"/>
      <c r="HWN10" s="34"/>
      <c r="HWO10" s="34"/>
      <c r="HWP10" s="34"/>
      <c r="HWQ10" s="34"/>
      <c r="HWR10" s="34"/>
      <c r="HWS10" s="34"/>
      <c r="HWT10" s="34"/>
      <c r="HWU10" s="34"/>
      <c r="HWV10" s="34"/>
      <c r="HWW10" s="34"/>
      <c r="HWX10" s="34"/>
      <c r="HWY10" s="34"/>
      <c r="HWZ10" s="34"/>
      <c r="HXA10" s="34"/>
      <c r="HXB10" s="34"/>
      <c r="HXC10" s="34"/>
      <c r="HXD10" s="34"/>
      <c r="HXE10" s="34"/>
      <c r="HXF10" s="34"/>
      <c r="HXG10" s="34"/>
      <c r="HXH10" s="34"/>
      <c r="HXI10" s="34"/>
      <c r="HXJ10" s="34"/>
      <c r="HXK10" s="34"/>
      <c r="HXL10" s="34"/>
      <c r="HXM10" s="34"/>
      <c r="HXN10" s="34"/>
      <c r="HXO10" s="34"/>
      <c r="HXP10" s="34"/>
      <c r="HXQ10" s="34"/>
      <c r="HXR10" s="34"/>
      <c r="HXS10" s="34"/>
      <c r="HXT10" s="34"/>
      <c r="HXU10" s="34"/>
      <c r="HXV10" s="34"/>
      <c r="HXW10" s="34"/>
      <c r="HXX10" s="34"/>
      <c r="HXY10" s="34"/>
      <c r="HXZ10" s="34"/>
      <c r="HYA10" s="34"/>
      <c r="HYB10" s="34"/>
      <c r="HYC10" s="34"/>
      <c r="HYD10" s="34"/>
      <c r="HYE10" s="34"/>
      <c r="HYF10" s="34"/>
      <c r="HYG10" s="34"/>
      <c r="HYH10" s="34"/>
      <c r="HYI10" s="34"/>
      <c r="HYJ10" s="34"/>
      <c r="HYK10" s="34"/>
      <c r="HYL10" s="34"/>
      <c r="HYM10" s="34"/>
      <c r="HYN10" s="34"/>
      <c r="HYO10" s="34"/>
      <c r="HYP10" s="34"/>
      <c r="HYQ10" s="34"/>
      <c r="HYR10" s="34"/>
      <c r="HYS10" s="34"/>
      <c r="HYT10" s="34"/>
      <c r="HYU10" s="34"/>
      <c r="HYV10" s="34"/>
      <c r="HYW10" s="34"/>
      <c r="HYX10" s="34"/>
      <c r="HYY10" s="34"/>
      <c r="HYZ10" s="34"/>
      <c r="HZA10" s="34"/>
      <c r="HZB10" s="34"/>
      <c r="HZC10" s="34"/>
      <c r="HZD10" s="34"/>
      <c r="HZE10" s="34"/>
      <c r="HZF10" s="34"/>
      <c r="HZG10" s="34"/>
      <c r="HZH10" s="34"/>
      <c r="HZI10" s="34"/>
      <c r="HZJ10" s="34"/>
      <c r="HZK10" s="34"/>
      <c r="HZL10" s="34"/>
      <c r="HZM10" s="34"/>
      <c r="HZN10" s="34"/>
      <c r="HZO10" s="34"/>
      <c r="HZP10" s="34"/>
      <c r="HZQ10" s="34"/>
      <c r="HZR10" s="34"/>
      <c r="HZS10" s="34"/>
      <c r="HZT10" s="34"/>
      <c r="HZU10" s="34"/>
      <c r="HZV10" s="34"/>
      <c r="HZW10" s="34"/>
      <c r="HZX10" s="34"/>
      <c r="HZY10" s="34"/>
      <c r="HZZ10" s="34"/>
      <c r="IAA10" s="34"/>
      <c r="IAB10" s="34"/>
      <c r="IAC10" s="34"/>
      <c r="IAD10" s="34"/>
      <c r="IAE10" s="34"/>
      <c r="IAF10" s="34"/>
      <c r="IAG10" s="34"/>
      <c r="IAH10" s="34"/>
      <c r="IAI10" s="34"/>
      <c r="IAJ10" s="34"/>
      <c r="IAK10" s="34"/>
      <c r="IAL10" s="34"/>
      <c r="IAM10" s="34"/>
      <c r="IAN10" s="34"/>
      <c r="IAO10" s="34"/>
      <c r="IAP10" s="34"/>
      <c r="IAQ10" s="34"/>
      <c r="IAR10" s="34"/>
      <c r="IAS10" s="34"/>
      <c r="IAT10" s="34"/>
      <c r="IAU10" s="34"/>
      <c r="IAV10" s="34"/>
      <c r="IAW10" s="34"/>
      <c r="IAX10" s="34"/>
      <c r="IAY10" s="34"/>
      <c r="IAZ10" s="34"/>
      <c r="IBA10" s="34"/>
      <c r="IBB10" s="34"/>
      <c r="IBC10" s="34"/>
      <c r="IBD10" s="34"/>
      <c r="IBE10" s="34"/>
      <c r="IBF10" s="34"/>
      <c r="IBG10" s="34"/>
      <c r="IBH10" s="34"/>
      <c r="IBI10" s="34"/>
      <c r="IBJ10" s="34"/>
      <c r="IBK10" s="34"/>
      <c r="IBL10" s="34"/>
      <c r="IBM10" s="34"/>
      <c r="IBN10" s="34"/>
      <c r="IBO10" s="34"/>
      <c r="IBP10" s="34"/>
      <c r="IBQ10" s="34"/>
      <c r="IBR10" s="34"/>
      <c r="IBS10" s="34"/>
      <c r="IBT10" s="34"/>
      <c r="IBU10" s="34"/>
      <c r="IBV10" s="34"/>
      <c r="IBW10" s="34"/>
      <c r="IBX10" s="34"/>
      <c r="IBY10" s="34"/>
      <c r="IBZ10" s="34"/>
      <c r="ICA10" s="34"/>
      <c r="ICB10" s="34"/>
      <c r="ICC10" s="34"/>
      <c r="ICD10" s="34"/>
      <c r="ICE10" s="34"/>
      <c r="ICF10" s="34"/>
      <c r="ICG10" s="34"/>
      <c r="ICH10" s="34"/>
      <c r="ICI10" s="34"/>
      <c r="ICJ10" s="34"/>
      <c r="ICK10" s="34"/>
      <c r="ICL10" s="34"/>
      <c r="ICM10" s="34"/>
      <c r="ICN10" s="34"/>
      <c r="ICO10" s="34"/>
      <c r="ICP10" s="34"/>
      <c r="ICQ10" s="34"/>
      <c r="ICR10" s="34"/>
      <c r="ICS10" s="34"/>
      <c r="ICT10" s="34"/>
      <c r="ICU10" s="34"/>
      <c r="ICV10" s="34"/>
      <c r="ICW10" s="34"/>
      <c r="ICX10" s="34"/>
      <c r="ICY10" s="34"/>
      <c r="ICZ10" s="34"/>
      <c r="IDA10" s="34"/>
      <c r="IDB10" s="34"/>
      <c r="IDC10" s="34"/>
      <c r="IDD10" s="34"/>
      <c r="IDE10" s="34"/>
      <c r="IDF10" s="34"/>
      <c r="IDG10" s="34"/>
      <c r="IDH10" s="34"/>
      <c r="IDI10" s="34"/>
      <c r="IDJ10" s="34"/>
      <c r="IDK10" s="34"/>
      <c r="IDL10" s="34"/>
      <c r="IDM10" s="34"/>
      <c r="IDN10" s="34"/>
      <c r="IDO10" s="34"/>
      <c r="IDP10" s="34"/>
      <c r="IDQ10" s="34"/>
      <c r="IDR10" s="34"/>
      <c r="IDS10" s="34"/>
      <c r="IDT10" s="34"/>
      <c r="IDU10" s="34"/>
      <c r="IDV10" s="34"/>
      <c r="IDW10" s="34"/>
      <c r="IDX10" s="34"/>
      <c r="IDY10" s="34"/>
      <c r="IDZ10" s="34"/>
      <c r="IEA10" s="34"/>
      <c r="IEB10" s="34"/>
      <c r="IEC10" s="34"/>
      <c r="IED10" s="34"/>
      <c r="IEE10" s="34"/>
      <c r="IEF10" s="34"/>
      <c r="IEG10" s="34"/>
      <c r="IEH10" s="34"/>
      <c r="IEI10" s="34"/>
      <c r="IEJ10" s="34"/>
      <c r="IEK10" s="34"/>
      <c r="IEL10" s="34"/>
      <c r="IEM10" s="34"/>
      <c r="IEN10" s="34"/>
      <c r="IEO10" s="34"/>
      <c r="IEP10" s="34"/>
      <c r="IEQ10" s="34"/>
      <c r="IER10" s="34"/>
      <c r="IES10" s="34"/>
      <c r="IET10" s="34"/>
      <c r="IEU10" s="34"/>
      <c r="IEV10" s="34"/>
      <c r="IEW10" s="34"/>
      <c r="IEX10" s="34"/>
      <c r="IEY10" s="34"/>
      <c r="IEZ10" s="34"/>
      <c r="IFA10" s="34"/>
      <c r="IFB10" s="34"/>
      <c r="IFC10" s="34"/>
      <c r="IFD10" s="34"/>
      <c r="IFE10" s="34"/>
      <c r="IFF10" s="34"/>
      <c r="IFG10" s="34"/>
      <c r="IFH10" s="34"/>
      <c r="IFI10" s="34"/>
      <c r="IFJ10" s="34"/>
      <c r="IFK10" s="34"/>
      <c r="IFL10" s="34"/>
      <c r="IFM10" s="34"/>
      <c r="IFN10" s="34"/>
      <c r="IFO10" s="34"/>
      <c r="IFP10" s="34"/>
      <c r="IFQ10" s="34"/>
      <c r="IFR10" s="34"/>
      <c r="IFS10" s="34"/>
      <c r="IFT10" s="34"/>
      <c r="IFU10" s="34"/>
      <c r="IFV10" s="34"/>
      <c r="IFW10" s="34"/>
      <c r="IFX10" s="34"/>
      <c r="IFY10" s="34"/>
      <c r="IFZ10" s="34"/>
      <c r="IGA10" s="34"/>
      <c r="IGB10" s="34"/>
      <c r="IGC10" s="34"/>
      <c r="IGD10" s="34"/>
      <c r="IGE10" s="34"/>
      <c r="IGF10" s="34"/>
      <c r="IGG10" s="34"/>
      <c r="IGH10" s="34"/>
      <c r="IGI10" s="34"/>
      <c r="IGJ10" s="34"/>
      <c r="IGK10" s="34"/>
      <c r="IGL10" s="34"/>
      <c r="IGM10" s="34"/>
      <c r="IGN10" s="34"/>
      <c r="IGO10" s="34"/>
      <c r="IGP10" s="34"/>
      <c r="IGQ10" s="34"/>
      <c r="IGR10" s="34"/>
      <c r="IGS10" s="34"/>
      <c r="IGT10" s="34"/>
      <c r="IGU10" s="34"/>
      <c r="IGV10" s="34"/>
      <c r="IGW10" s="34"/>
      <c r="IGX10" s="34"/>
      <c r="IGY10" s="34"/>
      <c r="IGZ10" s="34"/>
      <c r="IHA10" s="34"/>
      <c r="IHB10" s="34"/>
      <c r="IHC10" s="34"/>
      <c r="IHD10" s="34"/>
      <c r="IHE10" s="34"/>
      <c r="IHF10" s="34"/>
      <c r="IHG10" s="34"/>
      <c r="IHH10" s="34"/>
      <c r="IHI10" s="34"/>
      <c r="IHJ10" s="34"/>
      <c r="IHK10" s="34"/>
      <c r="IHL10" s="34"/>
      <c r="IHM10" s="34"/>
      <c r="IHN10" s="34"/>
      <c r="IHO10" s="34"/>
      <c r="IHP10" s="34"/>
      <c r="IHQ10" s="34"/>
      <c r="IHR10" s="34"/>
      <c r="IHS10" s="34"/>
      <c r="IHT10" s="34"/>
      <c r="IHU10" s="34"/>
      <c r="IHV10" s="34"/>
      <c r="IHW10" s="34"/>
      <c r="IHX10" s="34"/>
      <c r="IHY10" s="34"/>
      <c r="IHZ10" s="34"/>
      <c r="IIA10" s="34"/>
      <c r="IIB10" s="34"/>
      <c r="IIC10" s="34"/>
      <c r="IID10" s="34"/>
      <c r="IIE10" s="34"/>
      <c r="IIF10" s="34"/>
      <c r="IIG10" s="34"/>
      <c r="IIH10" s="34"/>
      <c r="III10" s="34"/>
      <c r="IIJ10" s="34"/>
      <c r="IIK10" s="34"/>
      <c r="IIL10" s="34"/>
      <c r="IIM10" s="34"/>
      <c r="IIN10" s="34"/>
      <c r="IIO10" s="34"/>
      <c r="IIP10" s="34"/>
      <c r="IIQ10" s="34"/>
      <c r="IIR10" s="34"/>
      <c r="IIS10" s="34"/>
      <c r="IIT10" s="34"/>
      <c r="IIU10" s="34"/>
      <c r="IIV10" s="34"/>
      <c r="IIW10" s="34"/>
      <c r="IIX10" s="34"/>
      <c r="IIY10" s="34"/>
      <c r="IIZ10" s="34"/>
      <c r="IJA10" s="34"/>
      <c r="IJB10" s="34"/>
      <c r="IJC10" s="34"/>
      <c r="IJD10" s="34"/>
      <c r="IJE10" s="34"/>
      <c r="IJF10" s="34"/>
      <c r="IJG10" s="34"/>
      <c r="IJH10" s="34"/>
      <c r="IJI10" s="34"/>
      <c r="IJJ10" s="34"/>
      <c r="IJK10" s="34"/>
      <c r="IJL10" s="34"/>
      <c r="IJM10" s="34"/>
      <c r="IJN10" s="34"/>
      <c r="IJO10" s="34"/>
      <c r="IJP10" s="34"/>
      <c r="IJQ10" s="34"/>
      <c r="IJR10" s="34"/>
      <c r="IJS10" s="34"/>
      <c r="IJT10" s="34"/>
      <c r="IJU10" s="34"/>
      <c r="IJV10" s="34"/>
      <c r="IJW10" s="34"/>
      <c r="IJX10" s="34"/>
      <c r="IJY10" s="34"/>
      <c r="IJZ10" s="34"/>
      <c r="IKA10" s="34"/>
      <c r="IKB10" s="34"/>
      <c r="IKC10" s="34"/>
      <c r="IKD10" s="34"/>
      <c r="IKE10" s="34"/>
      <c r="IKF10" s="34"/>
      <c r="IKG10" s="34"/>
      <c r="IKH10" s="34"/>
      <c r="IKI10" s="34"/>
      <c r="IKJ10" s="34"/>
      <c r="IKK10" s="34"/>
      <c r="IKL10" s="34"/>
      <c r="IKM10" s="34"/>
      <c r="IKN10" s="34"/>
      <c r="IKO10" s="34"/>
      <c r="IKP10" s="34"/>
      <c r="IKQ10" s="34"/>
      <c r="IKR10" s="34"/>
      <c r="IKS10" s="34"/>
      <c r="IKT10" s="34"/>
      <c r="IKU10" s="34"/>
      <c r="IKV10" s="34"/>
      <c r="IKW10" s="34"/>
      <c r="IKX10" s="34"/>
      <c r="IKY10" s="34"/>
      <c r="IKZ10" s="34"/>
      <c r="ILA10" s="34"/>
      <c r="ILB10" s="34"/>
      <c r="ILC10" s="34"/>
      <c r="ILD10" s="34"/>
      <c r="ILE10" s="34"/>
      <c r="ILF10" s="34"/>
      <c r="ILG10" s="34"/>
      <c r="ILH10" s="34"/>
      <c r="ILI10" s="34"/>
      <c r="ILJ10" s="34"/>
      <c r="ILK10" s="34"/>
      <c r="ILL10" s="34"/>
      <c r="ILM10" s="34"/>
      <c r="ILN10" s="34"/>
      <c r="ILO10" s="34"/>
      <c r="ILP10" s="34"/>
      <c r="ILQ10" s="34"/>
      <c r="ILR10" s="34"/>
      <c r="ILS10" s="34"/>
      <c r="ILT10" s="34"/>
      <c r="ILU10" s="34"/>
      <c r="ILV10" s="34"/>
      <c r="ILW10" s="34"/>
      <c r="ILX10" s="34"/>
      <c r="ILY10" s="34"/>
      <c r="ILZ10" s="34"/>
      <c r="IMA10" s="34"/>
      <c r="IMB10" s="34"/>
      <c r="IMC10" s="34"/>
      <c r="IMD10" s="34"/>
      <c r="IME10" s="34"/>
      <c r="IMF10" s="34"/>
      <c r="IMG10" s="34"/>
      <c r="IMH10" s="34"/>
      <c r="IMI10" s="34"/>
      <c r="IMJ10" s="34"/>
      <c r="IMK10" s="34"/>
      <c r="IML10" s="34"/>
      <c r="IMM10" s="34"/>
      <c r="IMN10" s="34"/>
      <c r="IMO10" s="34"/>
      <c r="IMP10" s="34"/>
      <c r="IMQ10" s="34"/>
      <c r="IMR10" s="34"/>
      <c r="IMS10" s="34"/>
      <c r="IMT10" s="34"/>
      <c r="IMU10" s="34"/>
      <c r="IMV10" s="34"/>
      <c r="IMW10" s="34"/>
      <c r="IMX10" s="34"/>
      <c r="IMY10" s="34"/>
      <c r="IMZ10" s="34"/>
      <c r="INA10" s="34"/>
      <c r="INB10" s="34"/>
      <c r="INC10" s="34"/>
      <c r="IND10" s="34"/>
      <c r="INE10" s="34"/>
      <c r="INF10" s="34"/>
      <c r="ING10" s="34"/>
      <c r="INH10" s="34"/>
      <c r="INI10" s="34"/>
      <c r="INJ10" s="34"/>
      <c r="INK10" s="34"/>
      <c r="INL10" s="34"/>
      <c r="INM10" s="34"/>
      <c r="INN10" s="34"/>
      <c r="INO10" s="34"/>
      <c r="INP10" s="34"/>
      <c r="INQ10" s="34"/>
      <c r="INR10" s="34"/>
      <c r="INS10" s="34"/>
      <c r="INT10" s="34"/>
      <c r="INU10" s="34"/>
      <c r="INV10" s="34"/>
      <c r="INW10" s="34"/>
      <c r="INX10" s="34"/>
      <c r="INY10" s="34"/>
      <c r="INZ10" s="34"/>
      <c r="IOA10" s="34"/>
      <c r="IOB10" s="34"/>
      <c r="IOC10" s="34"/>
      <c r="IOD10" s="34"/>
      <c r="IOE10" s="34"/>
      <c r="IOF10" s="34"/>
      <c r="IOG10" s="34"/>
      <c r="IOH10" s="34"/>
      <c r="IOI10" s="34"/>
      <c r="IOJ10" s="34"/>
      <c r="IOK10" s="34"/>
      <c r="IOL10" s="34"/>
      <c r="IOM10" s="34"/>
      <c r="ION10" s="34"/>
      <c r="IOO10" s="34"/>
      <c r="IOP10" s="34"/>
      <c r="IOQ10" s="34"/>
      <c r="IOR10" s="34"/>
      <c r="IOS10" s="34"/>
      <c r="IOT10" s="34"/>
      <c r="IOU10" s="34"/>
      <c r="IOV10" s="34"/>
      <c r="IOW10" s="34"/>
      <c r="IOX10" s="34"/>
      <c r="IOY10" s="34"/>
      <c r="IOZ10" s="34"/>
      <c r="IPA10" s="34"/>
      <c r="IPB10" s="34"/>
      <c r="IPC10" s="34"/>
      <c r="IPD10" s="34"/>
      <c r="IPE10" s="34"/>
      <c r="IPF10" s="34"/>
      <c r="IPG10" s="34"/>
      <c r="IPH10" s="34"/>
      <c r="IPI10" s="34"/>
      <c r="IPJ10" s="34"/>
      <c r="IPK10" s="34"/>
      <c r="IPL10" s="34"/>
      <c r="IPM10" s="34"/>
      <c r="IPN10" s="34"/>
      <c r="IPO10" s="34"/>
      <c r="IPP10" s="34"/>
      <c r="IPQ10" s="34"/>
      <c r="IPR10" s="34"/>
      <c r="IPS10" s="34"/>
      <c r="IPT10" s="34"/>
      <c r="IPU10" s="34"/>
      <c r="IPV10" s="34"/>
      <c r="IPW10" s="34"/>
      <c r="IPX10" s="34"/>
      <c r="IPY10" s="34"/>
      <c r="IPZ10" s="34"/>
      <c r="IQA10" s="34"/>
      <c r="IQB10" s="34"/>
      <c r="IQC10" s="34"/>
      <c r="IQD10" s="34"/>
      <c r="IQE10" s="34"/>
      <c r="IQF10" s="34"/>
      <c r="IQG10" s="34"/>
      <c r="IQH10" s="34"/>
      <c r="IQI10" s="34"/>
      <c r="IQJ10" s="34"/>
      <c r="IQK10" s="34"/>
      <c r="IQL10" s="34"/>
      <c r="IQM10" s="34"/>
      <c r="IQN10" s="34"/>
      <c r="IQO10" s="34"/>
      <c r="IQP10" s="34"/>
      <c r="IQQ10" s="34"/>
      <c r="IQR10" s="34"/>
      <c r="IQS10" s="34"/>
      <c r="IQT10" s="34"/>
      <c r="IQU10" s="34"/>
      <c r="IQV10" s="34"/>
      <c r="IQW10" s="34"/>
      <c r="IQX10" s="34"/>
      <c r="IQY10" s="34"/>
      <c r="IQZ10" s="34"/>
      <c r="IRA10" s="34"/>
      <c r="IRB10" s="34"/>
      <c r="IRC10" s="34"/>
      <c r="IRD10" s="34"/>
      <c r="IRE10" s="34"/>
      <c r="IRF10" s="34"/>
      <c r="IRG10" s="34"/>
      <c r="IRH10" s="34"/>
      <c r="IRI10" s="34"/>
      <c r="IRJ10" s="34"/>
      <c r="IRK10" s="34"/>
      <c r="IRL10" s="34"/>
      <c r="IRM10" s="34"/>
      <c r="IRN10" s="34"/>
      <c r="IRO10" s="34"/>
      <c r="IRP10" s="34"/>
      <c r="IRQ10" s="34"/>
      <c r="IRR10" s="34"/>
      <c r="IRS10" s="34"/>
      <c r="IRT10" s="34"/>
      <c r="IRU10" s="34"/>
      <c r="IRV10" s="34"/>
      <c r="IRW10" s="34"/>
      <c r="IRX10" s="34"/>
      <c r="IRY10" s="34"/>
      <c r="IRZ10" s="34"/>
      <c r="ISA10" s="34"/>
      <c r="ISB10" s="34"/>
      <c r="ISC10" s="34"/>
      <c r="ISD10" s="34"/>
      <c r="ISE10" s="34"/>
      <c r="ISF10" s="34"/>
      <c r="ISG10" s="34"/>
      <c r="ISH10" s="34"/>
      <c r="ISI10" s="34"/>
      <c r="ISJ10" s="34"/>
      <c r="ISK10" s="34"/>
      <c r="ISL10" s="34"/>
      <c r="ISM10" s="34"/>
      <c r="ISN10" s="34"/>
      <c r="ISO10" s="34"/>
      <c r="ISP10" s="34"/>
      <c r="ISQ10" s="34"/>
      <c r="ISR10" s="34"/>
      <c r="ISS10" s="34"/>
      <c r="IST10" s="34"/>
      <c r="ISU10" s="34"/>
      <c r="ISV10" s="34"/>
      <c r="ISW10" s="34"/>
      <c r="ISX10" s="34"/>
      <c r="ISY10" s="34"/>
      <c r="ISZ10" s="34"/>
      <c r="ITA10" s="34"/>
      <c r="ITB10" s="34"/>
      <c r="ITC10" s="34"/>
      <c r="ITD10" s="34"/>
      <c r="ITE10" s="34"/>
      <c r="ITF10" s="34"/>
      <c r="ITG10" s="34"/>
      <c r="ITH10" s="34"/>
      <c r="ITI10" s="34"/>
      <c r="ITJ10" s="34"/>
      <c r="ITK10" s="34"/>
      <c r="ITL10" s="34"/>
      <c r="ITM10" s="34"/>
      <c r="ITN10" s="34"/>
      <c r="ITO10" s="34"/>
      <c r="ITP10" s="34"/>
      <c r="ITQ10" s="34"/>
      <c r="ITR10" s="34"/>
      <c r="ITS10" s="34"/>
      <c r="ITT10" s="34"/>
      <c r="ITU10" s="34"/>
      <c r="ITV10" s="34"/>
      <c r="ITW10" s="34"/>
      <c r="ITX10" s="34"/>
      <c r="ITY10" s="34"/>
      <c r="ITZ10" s="34"/>
      <c r="IUA10" s="34"/>
      <c r="IUB10" s="34"/>
      <c r="IUC10" s="34"/>
      <c r="IUD10" s="34"/>
      <c r="IUE10" s="34"/>
      <c r="IUF10" s="34"/>
      <c r="IUG10" s="34"/>
      <c r="IUH10" s="34"/>
      <c r="IUI10" s="34"/>
      <c r="IUJ10" s="34"/>
      <c r="IUK10" s="34"/>
      <c r="IUL10" s="34"/>
      <c r="IUM10" s="34"/>
      <c r="IUN10" s="34"/>
      <c r="IUO10" s="34"/>
      <c r="IUP10" s="34"/>
      <c r="IUQ10" s="34"/>
      <c r="IUR10" s="34"/>
      <c r="IUS10" s="34"/>
      <c r="IUT10" s="34"/>
      <c r="IUU10" s="34"/>
      <c r="IUV10" s="34"/>
      <c r="IUW10" s="34"/>
      <c r="IUX10" s="34"/>
      <c r="IUY10" s="34"/>
      <c r="IUZ10" s="34"/>
      <c r="IVA10" s="34"/>
      <c r="IVB10" s="34"/>
      <c r="IVC10" s="34"/>
      <c r="IVD10" s="34"/>
      <c r="IVE10" s="34"/>
      <c r="IVF10" s="34"/>
      <c r="IVG10" s="34"/>
      <c r="IVH10" s="34"/>
      <c r="IVI10" s="34"/>
      <c r="IVJ10" s="34"/>
      <c r="IVK10" s="34"/>
      <c r="IVL10" s="34"/>
      <c r="IVM10" s="34"/>
      <c r="IVN10" s="34"/>
      <c r="IVO10" s="34"/>
      <c r="IVP10" s="34"/>
      <c r="IVQ10" s="34"/>
      <c r="IVR10" s="34"/>
      <c r="IVS10" s="34"/>
      <c r="IVT10" s="34"/>
      <c r="IVU10" s="34"/>
      <c r="IVV10" s="34"/>
      <c r="IVW10" s="34"/>
      <c r="IVX10" s="34"/>
      <c r="IVY10" s="34"/>
      <c r="IVZ10" s="34"/>
      <c r="IWA10" s="34"/>
      <c r="IWB10" s="34"/>
      <c r="IWC10" s="34"/>
      <c r="IWD10" s="34"/>
      <c r="IWE10" s="34"/>
      <c r="IWF10" s="34"/>
      <c r="IWG10" s="34"/>
      <c r="IWH10" s="34"/>
      <c r="IWI10" s="34"/>
      <c r="IWJ10" s="34"/>
      <c r="IWK10" s="34"/>
      <c r="IWL10" s="34"/>
      <c r="IWM10" s="34"/>
      <c r="IWN10" s="34"/>
      <c r="IWO10" s="34"/>
      <c r="IWP10" s="34"/>
      <c r="IWQ10" s="34"/>
      <c r="IWR10" s="34"/>
      <c r="IWS10" s="34"/>
      <c r="IWT10" s="34"/>
      <c r="IWU10" s="34"/>
      <c r="IWV10" s="34"/>
      <c r="IWW10" s="34"/>
      <c r="IWX10" s="34"/>
      <c r="IWY10" s="34"/>
      <c r="IWZ10" s="34"/>
      <c r="IXA10" s="34"/>
      <c r="IXB10" s="34"/>
      <c r="IXC10" s="34"/>
      <c r="IXD10" s="34"/>
      <c r="IXE10" s="34"/>
      <c r="IXF10" s="34"/>
      <c r="IXG10" s="34"/>
      <c r="IXH10" s="34"/>
      <c r="IXI10" s="34"/>
      <c r="IXJ10" s="34"/>
      <c r="IXK10" s="34"/>
      <c r="IXL10" s="34"/>
      <c r="IXM10" s="34"/>
      <c r="IXN10" s="34"/>
      <c r="IXO10" s="34"/>
      <c r="IXP10" s="34"/>
      <c r="IXQ10" s="34"/>
      <c r="IXR10" s="34"/>
      <c r="IXS10" s="34"/>
      <c r="IXT10" s="34"/>
      <c r="IXU10" s="34"/>
      <c r="IXV10" s="34"/>
      <c r="IXW10" s="34"/>
      <c r="IXX10" s="34"/>
      <c r="IXY10" s="34"/>
      <c r="IXZ10" s="34"/>
      <c r="IYA10" s="34"/>
      <c r="IYB10" s="34"/>
      <c r="IYC10" s="34"/>
      <c r="IYD10" s="34"/>
      <c r="IYE10" s="34"/>
      <c r="IYF10" s="34"/>
      <c r="IYG10" s="34"/>
      <c r="IYH10" s="34"/>
      <c r="IYI10" s="34"/>
      <c r="IYJ10" s="34"/>
      <c r="IYK10" s="34"/>
      <c r="IYL10" s="34"/>
      <c r="IYM10" s="34"/>
      <c r="IYN10" s="34"/>
      <c r="IYO10" s="34"/>
      <c r="IYP10" s="34"/>
      <c r="IYQ10" s="34"/>
      <c r="IYR10" s="34"/>
      <c r="IYS10" s="34"/>
      <c r="IYT10" s="34"/>
      <c r="IYU10" s="34"/>
      <c r="IYV10" s="34"/>
      <c r="IYW10" s="34"/>
      <c r="IYX10" s="34"/>
      <c r="IYY10" s="34"/>
      <c r="IYZ10" s="34"/>
      <c r="IZA10" s="34"/>
      <c r="IZB10" s="34"/>
      <c r="IZC10" s="34"/>
      <c r="IZD10" s="34"/>
      <c r="IZE10" s="34"/>
      <c r="IZF10" s="34"/>
      <c r="IZG10" s="34"/>
      <c r="IZH10" s="34"/>
      <c r="IZI10" s="34"/>
      <c r="IZJ10" s="34"/>
      <c r="IZK10" s="34"/>
      <c r="IZL10" s="34"/>
      <c r="IZM10" s="34"/>
      <c r="IZN10" s="34"/>
      <c r="IZO10" s="34"/>
      <c r="IZP10" s="34"/>
      <c r="IZQ10" s="34"/>
      <c r="IZR10" s="34"/>
      <c r="IZS10" s="34"/>
      <c r="IZT10" s="34"/>
      <c r="IZU10" s="34"/>
      <c r="IZV10" s="34"/>
      <c r="IZW10" s="34"/>
      <c r="IZX10" s="34"/>
      <c r="IZY10" s="34"/>
      <c r="IZZ10" s="34"/>
      <c r="JAA10" s="34"/>
      <c r="JAB10" s="34"/>
      <c r="JAC10" s="34"/>
      <c r="JAD10" s="34"/>
      <c r="JAE10" s="34"/>
      <c r="JAF10" s="34"/>
      <c r="JAG10" s="34"/>
      <c r="JAH10" s="34"/>
      <c r="JAI10" s="34"/>
      <c r="JAJ10" s="34"/>
      <c r="JAK10" s="34"/>
      <c r="JAL10" s="34"/>
      <c r="JAM10" s="34"/>
      <c r="JAN10" s="34"/>
      <c r="JAO10" s="34"/>
      <c r="JAP10" s="34"/>
      <c r="JAQ10" s="34"/>
      <c r="JAR10" s="34"/>
      <c r="JAS10" s="34"/>
      <c r="JAT10" s="34"/>
      <c r="JAU10" s="34"/>
      <c r="JAV10" s="34"/>
      <c r="JAW10" s="34"/>
      <c r="JAX10" s="34"/>
      <c r="JAY10" s="34"/>
      <c r="JAZ10" s="34"/>
      <c r="JBA10" s="34"/>
      <c r="JBB10" s="34"/>
      <c r="JBC10" s="34"/>
      <c r="JBD10" s="34"/>
      <c r="JBE10" s="34"/>
      <c r="JBF10" s="34"/>
      <c r="JBG10" s="34"/>
      <c r="JBH10" s="34"/>
      <c r="JBI10" s="34"/>
      <c r="JBJ10" s="34"/>
      <c r="JBK10" s="34"/>
      <c r="JBL10" s="34"/>
      <c r="JBM10" s="34"/>
      <c r="JBN10" s="34"/>
      <c r="JBO10" s="34"/>
      <c r="JBP10" s="34"/>
      <c r="JBQ10" s="34"/>
      <c r="JBR10" s="34"/>
      <c r="JBS10" s="34"/>
      <c r="JBT10" s="34"/>
      <c r="JBU10" s="34"/>
      <c r="JBV10" s="34"/>
      <c r="JBW10" s="34"/>
      <c r="JBX10" s="34"/>
      <c r="JBY10" s="34"/>
      <c r="JBZ10" s="34"/>
      <c r="JCA10" s="34"/>
      <c r="JCB10" s="34"/>
      <c r="JCC10" s="34"/>
      <c r="JCD10" s="34"/>
      <c r="JCE10" s="34"/>
      <c r="JCF10" s="34"/>
      <c r="JCG10" s="34"/>
      <c r="JCH10" s="34"/>
      <c r="JCI10" s="34"/>
      <c r="JCJ10" s="34"/>
      <c r="JCK10" s="34"/>
      <c r="JCL10" s="34"/>
      <c r="JCM10" s="34"/>
      <c r="JCN10" s="34"/>
      <c r="JCO10" s="34"/>
      <c r="JCP10" s="34"/>
      <c r="JCQ10" s="34"/>
      <c r="JCR10" s="34"/>
      <c r="JCS10" s="34"/>
      <c r="JCT10" s="34"/>
      <c r="JCU10" s="34"/>
      <c r="JCV10" s="34"/>
      <c r="JCW10" s="34"/>
      <c r="JCX10" s="34"/>
      <c r="JCY10" s="34"/>
      <c r="JCZ10" s="34"/>
      <c r="JDA10" s="34"/>
      <c r="JDB10" s="34"/>
      <c r="JDC10" s="34"/>
      <c r="JDD10" s="34"/>
      <c r="JDE10" s="34"/>
      <c r="JDF10" s="34"/>
      <c r="JDG10" s="34"/>
      <c r="JDH10" s="34"/>
      <c r="JDI10" s="34"/>
      <c r="JDJ10" s="34"/>
      <c r="JDK10" s="34"/>
      <c r="JDL10" s="34"/>
      <c r="JDM10" s="34"/>
      <c r="JDN10" s="34"/>
      <c r="JDO10" s="34"/>
      <c r="JDP10" s="34"/>
      <c r="JDQ10" s="34"/>
      <c r="JDR10" s="34"/>
      <c r="JDS10" s="34"/>
      <c r="JDT10" s="34"/>
      <c r="JDU10" s="34"/>
      <c r="JDV10" s="34"/>
      <c r="JDW10" s="34"/>
      <c r="JDX10" s="34"/>
      <c r="JDY10" s="34"/>
      <c r="JDZ10" s="34"/>
      <c r="JEA10" s="34"/>
      <c r="JEB10" s="34"/>
      <c r="JEC10" s="34"/>
      <c r="JED10" s="34"/>
      <c r="JEE10" s="34"/>
      <c r="JEF10" s="34"/>
      <c r="JEG10" s="34"/>
      <c r="JEH10" s="34"/>
      <c r="JEI10" s="34"/>
      <c r="JEJ10" s="34"/>
      <c r="JEK10" s="34"/>
      <c r="JEL10" s="34"/>
      <c r="JEM10" s="34"/>
      <c r="JEN10" s="34"/>
      <c r="JEO10" s="34"/>
      <c r="JEP10" s="34"/>
      <c r="JEQ10" s="34"/>
      <c r="JER10" s="34"/>
      <c r="JES10" s="34"/>
      <c r="JET10" s="34"/>
      <c r="JEU10" s="34"/>
      <c r="JEV10" s="34"/>
      <c r="JEW10" s="34"/>
      <c r="JEX10" s="34"/>
      <c r="JEY10" s="34"/>
      <c r="JEZ10" s="34"/>
      <c r="JFA10" s="34"/>
      <c r="JFB10" s="34"/>
      <c r="JFC10" s="34"/>
      <c r="JFD10" s="34"/>
      <c r="JFE10" s="34"/>
      <c r="JFF10" s="34"/>
      <c r="JFG10" s="34"/>
      <c r="JFH10" s="34"/>
      <c r="JFI10" s="34"/>
      <c r="JFJ10" s="34"/>
      <c r="JFK10" s="34"/>
      <c r="JFL10" s="34"/>
      <c r="JFM10" s="34"/>
      <c r="JFN10" s="34"/>
      <c r="JFO10" s="34"/>
      <c r="JFP10" s="34"/>
      <c r="JFQ10" s="34"/>
      <c r="JFR10" s="34"/>
      <c r="JFS10" s="34"/>
      <c r="JFT10" s="34"/>
      <c r="JFU10" s="34"/>
      <c r="JFV10" s="34"/>
      <c r="JFW10" s="34"/>
      <c r="JFX10" s="34"/>
      <c r="JFY10" s="34"/>
      <c r="JFZ10" s="34"/>
      <c r="JGA10" s="34"/>
      <c r="JGB10" s="34"/>
      <c r="JGC10" s="34"/>
      <c r="JGD10" s="34"/>
      <c r="JGE10" s="34"/>
      <c r="JGF10" s="34"/>
      <c r="JGG10" s="34"/>
      <c r="JGH10" s="34"/>
      <c r="JGI10" s="34"/>
      <c r="JGJ10" s="34"/>
      <c r="JGK10" s="34"/>
      <c r="JGL10" s="34"/>
      <c r="JGM10" s="34"/>
      <c r="JGN10" s="34"/>
      <c r="JGO10" s="34"/>
      <c r="JGP10" s="34"/>
      <c r="JGQ10" s="34"/>
      <c r="JGR10" s="34"/>
      <c r="JGS10" s="34"/>
      <c r="JGT10" s="34"/>
      <c r="JGU10" s="34"/>
      <c r="JGV10" s="34"/>
      <c r="JGW10" s="34"/>
      <c r="JGX10" s="34"/>
      <c r="JGY10" s="34"/>
      <c r="JGZ10" s="34"/>
      <c r="JHA10" s="34"/>
      <c r="JHB10" s="34"/>
      <c r="JHC10" s="34"/>
      <c r="JHD10" s="34"/>
      <c r="JHE10" s="34"/>
      <c r="JHF10" s="34"/>
      <c r="JHG10" s="34"/>
      <c r="JHH10" s="34"/>
      <c r="JHI10" s="34"/>
      <c r="JHJ10" s="34"/>
      <c r="JHK10" s="34"/>
      <c r="JHL10" s="34"/>
      <c r="JHM10" s="34"/>
      <c r="JHN10" s="34"/>
      <c r="JHO10" s="34"/>
      <c r="JHP10" s="34"/>
      <c r="JHQ10" s="34"/>
      <c r="JHR10" s="34"/>
      <c r="JHS10" s="34"/>
      <c r="JHT10" s="34"/>
      <c r="JHU10" s="34"/>
      <c r="JHV10" s="34"/>
      <c r="JHW10" s="34"/>
      <c r="JHX10" s="34"/>
      <c r="JHY10" s="34"/>
      <c r="JHZ10" s="34"/>
      <c r="JIA10" s="34"/>
      <c r="JIB10" s="34"/>
      <c r="JIC10" s="34"/>
      <c r="JID10" s="34"/>
      <c r="JIE10" s="34"/>
      <c r="JIF10" s="34"/>
      <c r="JIG10" s="34"/>
      <c r="JIH10" s="34"/>
      <c r="JII10" s="34"/>
      <c r="JIJ10" s="34"/>
      <c r="JIK10" s="34"/>
      <c r="JIL10" s="34"/>
      <c r="JIM10" s="34"/>
      <c r="JIN10" s="34"/>
      <c r="JIO10" s="34"/>
      <c r="JIP10" s="34"/>
      <c r="JIQ10" s="34"/>
      <c r="JIR10" s="34"/>
      <c r="JIS10" s="34"/>
      <c r="JIT10" s="34"/>
      <c r="JIU10" s="34"/>
      <c r="JIV10" s="34"/>
      <c r="JIW10" s="34"/>
      <c r="JIX10" s="34"/>
      <c r="JIY10" s="34"/>
      <c r="JIZ10" s="34"/>
      <c r="JJA10" s="34"/>
      <c r="JJB10" s="34"/>
      <c r="JJC10" s="34"/>
      <c r="JJD10" s="34"/>
      <c r="JJE10" s="34"/>
      <c r="JJF10" s="34"/>
      <c r="JJG10" s="34"/>
      <c r="JJH10" s="34"/>
      <c r="JJI10" s="34"/>
      <c r="JJJ10" s="34"/>
      <c r="JJK10" s="34"/>
      <c r="JJL10" s="34"/>
      <c r="JJM10" s="34"/>
      <c r="JJN10" s="34"/>
      <c r="JJO10" s="34"/>
      <c r="JJP10" s="34"/>
      <c r="JJQ10" s="34"/>
      <c r="JJR10" s="34"/>
      <c r="JJS10" s="34"/>
      <c r="JJT10" s="34"/>
      <c r="JJU10" s="34"/>
      <c r="JJV10" s="34"/>
      <c r="JJW10" s="34"/>
      <c r="JJX10" s="34"/>
      <c r="JJY10" s="34"/>
      <c r="JJZ10" s="34"/>
      <c r="JKA10" s="34"/>
      <c r="JKB10" s="34"/>
      <c r="JKC10" s="34"/>
      <c r="JKD10" s="34"/>
      <c r="JKE10" s="34"/>
      <c r="JKF10" s="34"/>
      <c r="JKG10" s="34"/>
      <c r="JKH10" s="34"/>
      <c r="JKI10" s="34"/>
      <c r="JKJ10" s="34"/>
      <c r="JKK10" s="34"/>
      <c r="JKL10" s="34"/>
      <c r="JKM10" s="34"/>
      <c r="JKN10" s="34"/>
      <c r="JKO10" s="34"/>
      <c r="JKP10" s="34"/>
      <c r="JKQ10" s="34"/>
      <c r="JKR10" s="34"/>
      <c r="JKS10" s="34"/>
      <c r="JKT10" s="34"/>
      <c r="JKU10" s="34"/>
      <c r="JKV10" s="34"/>
      <c r="JKW10" s="34"/>
      <c r="JKX10" s="34"/>
      <c r="JKY10" s="34"/>
      <c r="JKZ10" s="34"/>
      <c r="JLA10" s="34"/>
      <c r="JLB10" s="34"/>
      <c r="JLC10" s="34"/>
      <c r="JLD10" s="34"/>
      <c r="JLE10" s="34"/>
      <c r="JLF10" s="34"/>
      <c r="JLG10" s="34"/>
      <c r="JLH10" s="34"/>
      <c r="JLI10" s="34"/>
      <c r="JLJ10" s="34"/>
      <c r="JLK10" s="34"/>
      <c r="JLL10" s="34"/>
      <c r="JLM10" s="34"/>
      <c r="JLN10" s="34"/>
      <c r="JLO10" s="34"/>
      <c r="JLP10" s="34"/>
      <c r="JLQ10" s="34"/>
      <c r="JLR10" s="34"/>
      <c r="JLS10" s="34"/>
      <c r="JLT10" s="34"/>
      <c r="JLU10" s="34"/>
      <c r="JLV10" s="34"/>
      <c r="JLW10" s="34"/>
      <c r="JLX10" s="34"/>
      <c r="JLY10" s="34"/>
      <c r="JLZ10" s="34"/>
      <c r="JMA10" s="34"/>
      <c r="JMB10" s="34"/>
      <c r="JMC10" s="34"/>
      <c r="JMD10" s="34"/>
      <c r="JME10" s="34"/>
      <c r="JMF10" s="34"/>
      <c r="JMG10" s="34"/>
      <c r="JMH10" s="34"/>
      <c r="JMI10" s="34"/>
      <c r="JMJ10" s="34"/>
      <c r="JMK10" s="34"/>
      <c r="JML10" s="34"/>
      <c r="JMM10" s="34"/>
      <c r="JMN10" s="34"/>
      <c r="JMO10" s="34"/>
      <c r="JMP10" s="34"/>
      <c r="JMQ10" s="34"/>
      <c r="JMR10" s="34"/>
      <c r="JMS10" s="34"/>
      <c r="JMT10" s="34"/>
      <c r="JMU10" s="34"/>
      <c r="JMV10" s="34"/>
      <c r="JMW10" s="34"/>
      <c r="JMX10" s="34"/>
      <c r="JMY10" s="34"/>
      <c r="JMZ10" s="34"/>
      <c r="JNA10" s="34"/>
      <c r="JNB10" s="34"/>
      <c r="JNC10" s="34"/>
      <c r="JND10" s="34"/>
      <c r="JNE10" s="34"/>
      <c r="JNF10" s="34"/>
      <c r="JNG10" s="34"/>
      <c r="JNH10" s="34"/>
      <c r="JNI10" s="34"/>
      <c r="JNJ10" s="34"/>
      <c r="JNK10" s="34"/>
      <c r="JNL10" s="34"/>
      <c r="JNM10" s="34"/>
      <c r="JNN10" s="34"/>
      <c r="JNO10" s="34"/>
      <c r="JNP10" s="34"/>
      <c r="JNQ10" s="34"/>
      <c r="JNR10" s="34"/>
      <c r="JNS10" s="34"/>
      <c r="JNT10" s="34"/>
      <c r="JNU10" s="34"/>
      <c r="JNV10" s="34"/>
      <c r="JNW10" s="34"/>
      <c r="JNX10" s="34"/>
      <c r="JNY10" s="34"/>
      <c r="JNZ10" s="34"/>
      <c r="JOA10" s="34"/>
      <c r="JOB10" s="34"/>
      <c r="JOC10" s="34"/>
      <c r="JOD10" s="34"/>
      <c r="JOE10" s="34"/>
      <c r="JOF10" s="34"/>
      <c r="JOG10" s="34"/>
      <c r="JOH10" s="34"/>
      <c r="JOI10" s="34"/>
      <c r="JOJ10" s="34"/>
      <c r="JOK10" s="34"/>
      <c r="JOL10" s="34"/>
      <c r="JOM10" s="34"/>
      <c r="JON10" s="34"/>
      <c r="JOO10" s="34"/>
      <c r="JOP10" s="34"/>
      <c r="JOQ10" s="34"/>
      <c r="JOR10" s="34"/>
      <c r="JOS10" s="34"/>
      <c r="JOT10" s="34"/>
      <c r="JOU10" s="34"/>
      <c r="JOV10" s="34"/>
      <c r="JOW10" s="34"/>
      <c r="JOX10" s="34"/>
      <c r="JOY10" s="34"/>
      <c r="JOZ10" s="34"/>
      <c r="JPA10" s="34"/>
      <c r="JPB10" s="34"/>
      <c r="JPC10" s="34"/>
      <c r="JPD10" s="34"/>
      <c r="JPE10" s="34"/>
      <c r="JPF10" s="34"/>
      <c r="JPG10" s="34"/>
      <c r="JPH10" s="34"/>
      <c r="JPI10" s="34"/>
      <c r="JPJ10" s="34"/>
      <c r="JPK10" s="34"/>
      <c r="JPL10" s="34"/>
      <c r="JPM10" s="34"/>
      <c r="JPN10" s="34"/>
      <c r="JPO10" s="34"/>
      <c r="JPP10" s="34"/>
      <c r="JPQ10" s="34"/>
      <c r="JPR10" s="34"/>
      <c r="JPS10" s="34"/>
      <c r="JPT10" s="34"/>
      <c r="JPU10" s="34"/>
      <c r="JPV10" s="34"/>
      <c r="JPW10" s="34"/>
      <c r="JPX10" s="34"/>
      <c r="JPY10" s="34"/>
      <c r="JPZ10" s="34"/>
      <c r="JQA10" s="34"/>
      <c r="JQB10" s="34"/>
      <c r="JQC10" s="34"/>
      <c r="JQD10" s="34"/>
      <c r="JQE10" s="34"/>
      <c r="JQF10" s="34"/>
      <c r="JQG10" s="34"/>
      <c r="JQH10" s="34"/>
      <c r="JQI10" s="34"/>
      <c r="JQJ10" s="34"/>
      <c r="JQK10" s="34"/>
      <c r="JQL10" s="34"/>
      <c r="JQM10" s="34"/>
      <c r="JQN10" s="34"/>
      <c r="JQO10" s="34"/>
      <c r="JQP10" s="34"/>
      <c r="JQQ10" s="34"/>
      <c r="JQR10" s="34"/>
      <c r="JQS10" s="34"/>
      <c r="JQT10" s="34"/>
      <c r="JQU10" s="34"/>
      <c r="JQV10" s="34"/>
      <c r="JQW10" s="34"/>
      <c r="JQX10" s="34"/>
      <c r="JQY10" s="34"/>
      <c r="JQZ10" s="34"/>
      <c r="JRA10" s="34"/>
      <c r="JRB10" s="34"/>
      <c r="JRC10" s="34"/>
      <c r="JRD10" s="34"/>
      <c r="JRE10" s="34"/>
      <c r="JRF10" s="34"/>
      <c r="JRG10" s="34"/>
      <c r="JRH10" s="34"/>
      <c r="JRI10" s="34"/>
      <c r="JRJ10" s="34"/>
      <c r="JRK10" s="34"/>
      <c r="JRL10" s="34"/>
      <c r="JRM10" s="34"/>
      <c r="JRN10" s="34"/>
      <c r="JRO10" s="34"/>
      <c r="JRP10" s="34"/>
      <c r="JRQ10" s="34"/>
      <c r="JRR10" s="34"/>
      <c r="JRS10" s="34"/>
      <c r="JRT10" s="34"/>
      <c r="JRU10" s="34"/>
      <c r="JRV10" s="34"/>
      <c r="JRW10" s="34"/>
      <c r="JRX10" s="34"/>
      <c r="JRY10" s="34"/>
      <c r="JRZ10" s="34"/>
      <c r="JSA10" s="34"/>
      <c r="JSB10" s="34"/>
      <c r="JSC10" s="34"/>
      <c r="JSD10" s="34"/>
      <c r="JSE10" s="34"/>
      <c r="JSF10" s="34"/>
      <c r="JSG10" s="34"/>
      <c r="JSH10" s="34"/>
      <c r="JSI10" s="34"/>
      <c r="JSJ10" s="34"/>
      <c r="JSK10" s="34"/>
      <c r="JSL10" s="34"/>
      <c r="JSM10" s="34"/>
      <c r="JSN10" s="34"/>
      <c r="JSO10" s="34"/>
      <c r="JSP10" s="34"/>
      <c r="JSQ10" s="34"/>
      <c r="JSR10" s="34"/>
      <c r="JSS10" s="34"/>
      <c r="JST10" s="34"/>
      <c r="JSU10" s="34"/>
      <c r="JSV10" s="34"/>
      <c r="JSW10" s="34"/>
      <c r="JSX10" s="34"/>
      <c r="JSY10" s="34"/>
      <c r="JSZ10" s="34"/>
      <c r="JTA10" s="34"/>
      <c r="JTB10" s="34"/>
      <c r="JTC10" s="34"/>
      <c r="JTD10" s="34"/>
      <c r="JTE10" s="34"/>
      <c r="JTF10" s="34"/>
      <c r="JTG10" s="34"/>
      <c r="JTH10" s="34"/>
      <c r="JTI10" s="34"/>
      <c r="JTJ10" s="34"/>
      <c r="JTK10" s="34"/>
      <c r="JTL10" s="34"/>
      <c r="JTM10" s="34"/>
      <c r="JTN10" s="34"/>
      <c r="JTO10" s="34"/>
      <c r="JTP10" s="34"/>
      <c r="JTQ10" s="34"/>
      <c r="JTR10" s="34"/>
      <c r="JTS10" s="34"/>
      <c r="JTT10" s="34"/>
      <c r="JTU10" s="34"/>
      <c r="JTV10" s="34"/>
      <c r="JTW10" s="34"/>
      <c r="JTX10" s="34"/>
      <c r="JTY10" s="34"/>
      <c r="JTZ10" s="34"/>
      <c r="JUA10" s="34"/>
      <c r="JUB10" s="34"/>
      <c r="JUC10" s="34"/>
      <c r="JUD10" s="34"/>
      <c r="JUE10" s="34"/>
      <c r="JUF10" s="34"/>
      <c r="JUG10" s="34"/>
      <c r="JUH10" s="34"/>
      <c r="JUI10" s="34"/>
      <c r="JUJ10" s="34"/>
      <c r="JUK10" s="34"/>
      <c r="JUL10" s="34"/>
      <c r="JUM10" s="34"/>
      <c r="JUN10" s="34"/>
      <c r="JUO10" s="34"/>
      <c r="JUP10" s="34"/>
      <c r="JUQ10" s="34"/>
      <c r="JUR10" s="34"/>
      <c r="JUS10" s="34"/>
      <c r="JUT10" s="34"/>
      <c r="JUU10" s="34"/>
      <c r="JUV10" s="34"/>
      <c r="JUW10" s="34"/>
      <c r="JUX10" s="34"/>
      <c r="JUY10" s="34"/>
      <c r="JUZ10" s="34"/>
      <c r="JVA10" s="34"/>
      <c r="JVB10" s="34"/>
      <c r="JVC10" s="34"/>
      <c r="JVD10" s="34"/>
      <c r="JVE10" s="34"/>
      <c r="JVF10" s="34"/>
      <c r="JVG10" s="34"/>
      <c r="JVH10" s="34"/>
      <c r="JVI10" s="34"/>
      <c r="JVJ10" s="34"/>
      <c r="JVK10" s="34"/>
      <c r="JVL10" s="34"/>
      <c r="JVM10" s="34"/>
      <c r="JVN10" s="34"/>
      <c r="JVO10" s="34"/>
      <c r="JVP10" s="34"/>
      <c r="JVQ10" s="34"/>
      <c r="JVR10" s="34"/>
      <c r="JVS10" s="34"/>
      <c r="JVT10" s="34"/>
      <c r="JVU10" s="34"/>
      <c r="JVV10" s="34"/>
      <c r="JVW10" s="34"/>
      <c r="JVX10" s="34"/>
      <c r="JVY10" s="34"/>
      <c r="JVZ10" s="34"/>
      <c r="JWA10" s="34"/>
      <c r="JWB10" s="34"/>
      <c r="JWC10" s="34"/>
      <c r="JWD10" s="34"/>
      <c r="JWE10" s="34"/>
      <c r="JWF10" s="34"/>
      <c r="JWG10" s="34"/>
      <c r="JWH10" s="34"/>
      <c r="JWI10" s="34"/>
      <c r="JWJ10" s="34"/>
      <c r="JWK10" s="34"/>
      <c r="JWL10" s="34"/>
      <c r="JWM10" s="34"/>
      <c r="JWN10" s="34"/>
      <c r="JWO10" s="34"/>
      <c r="JWP10" s="34"/>
      <c r="JWQ10" s="34"/>
      <c r="JWR10" s="34"/>
      <c r="JWS10" s="34"/>
      <c r="JWT10" s="34"/>
      <c r="JWU10" s="34"/>
      <c r="JWV10" s="34"/>
      <c r="JWW10" s="34"/>
      <c r="JWX10" s="34"/>
      <c r="JWY10" s="34"/>
      <c r="JWZ10" s="34"/>
      <c r="JXA10" s="34"/>
      <c r="JXB10" s="34"/>
      <c r="JXC10" s="34"/>
      <c r="JXD10" s="34"/>
      <c r="JXE10" s="34"/>
      <c r="JXF10" s="34"/>
      <c r="JXG10" s="34"/>
      <c r="JXH10" s="34"/>
      <c r="JXI10" s="34"/>
      <c r="JXJ10" s="34"/>
      <c r="JXK10" s="34"/>
      <c r="JXL10" s="34"/>
      <c r="JXM10" s="34"/>
      <c r="JXN10" s="34"/>
      <c r="JXO10" s="34"/>
      <c r="JXP10" s="34"/>
      <c r="JXQ10" s="34"/>
      <c r="JXR10" s="34"/>
      <c r="JXS10" s="34"/>
      <c r="JXT10" s="34"/>
      <c r="JXU10" s="34"/>
      <c r="JXV10" s="34"/>
      <c r="JXW10" s="34"/>
      <c r="JXX10" s="34"/>
      <c r="JXY10" s="34"/>
      <c r="JXZ10" s="34"/>
      <c r="JYA10" s="34"/>
      <c r="JYB10" s="34"/>
      <c r="JYC10" s="34"/>
      <c r="JYD10" s="34"/>
      <c r="JYE10" s="34"/>
      <c r="JYF10" s="34"/>
      <c r="JYG10" s="34"/>
      <c r="JYH10" s="34"/>
      <c r="JYI10" s="34"/>
      <c r="JYJ10" s="34"/>
      <c r="JYK10" s="34"/>
      <c r="JYL10" s="34"/>
      <c r="JYM10" s="34"/>
      <c r="JYN10" s="34"/>
      <c r="JYO10" s="34"/>
      <c r="JYP10" s="34"/>
      <c r="JYQ10" s="34"/>
      <c r="JYR10" s="34"/>
      <c r="JYS10" s="34"/>
      <c r="JYT10" s="34"/>
      <c r="JYU10" s="34"/>
      <c r="JYV10" s="34"/>
      <c r="JYW10" s="34"/>
      <c r="JYX10" s="34"/>
      <c r="JYY10" s="34"/>
      <c r="JYZ10" s="34"/>
      <c r="JZA10" s="34"/>
      <c r="JZB10" s="34"/>
      <c r="JZC10" s="34"/>
      <c r="JZD10" s="34"/>
      <c r="JZE10" s="34"/>
      <c r="JZF10" s="34"/>
      <c r="JZG10" s="34"/>
      <c r="JZH10" s="34"/>
      <c r="JZI10" s="34"/>
      <c r="JZJ10" s="34"/>
      <c r="JZK10" s="34"/>
      <c r="JZL10" s="34"/>
      <c r="JZM10" s="34"/>
      <c r="JZN10" s="34"/>
      <c r="JZO10" s="34"/>
      <c r="JZP10" s="34"/>
      <c r="JZQ10" s="34"/>
      <c r="JZR10" s="34"/>
      <c r="JZS10" s="34"/>
      <c r="JZT10" s="34"/>
      <c r="JZU10" s="34"/>
      <c r="JZV10" s="34"/>
      <c r="JZW10" s="34"/>
      <c r="JZX10" s="34"/>
      <c r="JZY10" s="34"/>
      <c r="JZZ10" s="34"/>
      <c r="KAA10" s="34"/>
      <c r="KAB10" s="34"/>
      <c r="KAC10" s="34"/>
      <c r="KAD10" s="34"/>
      <c r="KAE10" s="34"/>
      <c r="KAF10" s="34"/>
      <c r="KAG10" s="34"/>
      <c r="KAH10" s="34"/>
      <c r="KAI10" s="34"/>
      <c r="KAJ10" s="34"/>
      <c r="KAK10" s="34"/>
      <c r="KAL10" s="34"/>
      <c r="KAM10" s="34"/>
      <c r="KAN10" s="34"/>
      <c r="KAO10" s="34"/>
      <c r="KAP10" s="34"/>
      <c r="KAQ10" s="34"/>
      <c r="KAR10" s="34"/>
      <c r="KAS10" s="34"/>
      <c r="KAT10" s="34"/>
      <c r="KAU10" s="34"/>
      <c r="KAV10" s="34"/>
      <c r="KAW10" s="34"/>
      <c r="KAX10" s="34"/>
      <c r="KAY10" s="34"/>
      <c r="KAZ10" s="34"/>
      <c r="KBA10" s="34"/>
      <c r="KBB10" s="34"/>
      <c r="KBC10" s="34"/>
      <c r="KBD10" s="34"/>
      <c r="KBE10" s="34"/>
      <c r="KBF10" s="34"/>
      <c r="KBG10" s="34"/>
      <c r="KBH10" s="34"/>
      <c r="KBI10" s="34"/>
      <c r="KBJ10" s="34"/>
      <c r="KBK10" s="34"/>
      <c r="KBL10" s="34"/>
      <c r="KBM10" s="34"/>
      <c r="KBN10" s="34"/>
      <c r="KBO10" s="34"/>
      <c r="KBP10" s="34"/>
      <c r="KBQ10" s="34"/>
      <c r="KBR10" s="34"/>
      <c r="KBS10" s="34"/>
      <c r="KBT10" s="34"/>
      <c r="KBU10" s="34"/>
      <c r="KBV10" s="34"/>
      <c r="KBW10" s="34"/>
      <c r="KBX10" s="34"/>
      <c r="KBY10" s="34"/>
      <c r="KBZ10" s="34"/>
      <c r="KCA10" s="34"/>
      <c r="KCB10" s="34"/>
      <c r="KCC10" s="34"/>
      <c r="KCD10" s="34"/>
      <c r="KCE10" s="34"/>
      <c r="KCF10" s="34"/>
      <c r="KCG10" s="34"/>
      <c r="KCH10" s="34"/>
      <c r="KCI10" s="34"/>
      <c r="KCJ10" s="34"/>
      <c r="KCK10" s="34"/>
      <c r="KCL10" s="34"/>
      <c r="KCM10" s="34"/>
      <c r="KCN10" s="34"/>
      <c r="KCO10" s="34"/>
      <c r="KCP10" s="34"/>
      <c r="KCQ10" s="34"/>
      <c r="KCR10" s="34"/>
      <c r="KCS10" s="34"/>
      <c r="KCT10" s="34"/>
      <c r="KCU10" s="34"/>
      <c r="KCV10" s="34"/>
      <c r="KCW10" s="34"/>
      <c r="KCX10" s="34"/>
      <c r="KCY10" s="34"/>
      <c r="KCZ10" s="34"/>
      <c r="KDA10" s="34"/>
      <c r="KDB10" s="34"/>
      <c r="KDC10" s="34"/>
      <c r="KDD10" s="34"/>
      <c r="KDE10" s="34"/>
      <c r="KDF10" s="34"/>
      <c r="KDG10" s="34"/>
      <c r="KDH10" s="34"/>
      <c r="KDI10" s="34"/>
      <c r="KDJ10" s="34"/>
      <c r="KDK10" s="34"/>
      <c r="KDL10" s="34"/>
      <c r="KDM10" s="34"/>
      <c r="KDN10" s="34"/>
      <c r="KDO10" s="34"/>
      <c r="KDP10" s="34"/>
      <c r="KDQ10" s="34"/>
      <c r="KDR10" s="34"/>
      <c r="KDS10" s="34"/>
      <c r="KDT10" s="34"/>
      <c r="KDU10" s="34"/>
      <c r="KDV10" s="34"/>
      <c r="KDW10" s="34"/>
      <c r="KDX10" s="34"/>
      <c r="KDY10" s="34"/>
      <c r="KDZ10" s="34"/>
      <c r="KEA10" s="34"/>
      <c r="KEB10" s="34"/>
      <c r="KEC10" s="34"/>
      <c r="KED10" s="34"/>
      <c r="KEE10" s="34"/>
      <c r="KEF10" s="34"/>
      <c r="KEG10" s="34"/>
      <c r="KEH10" s="34"/>
      <c r="KEI10" s="34"/>
      <c r="KEJ10" s="34"/>
      <c r="KEK10" s="34"/>
      <c r="KEL10" s="34"/>
      <c r="KEM10" s="34"/>
      <c r="KEN10" s="34"/>
      <c r="KEO10" s="34"/>
      <c r="KEP10" s="34"/>
      <c r="KEQ10" s="34"/>
      <c r="KER10" s="34"/>
      <c r="KES10" s="34"/>
      <c r="KET10" s="34"/>
      <c r="KEU10" s="34"/>
      <c r="KEV10" s="34"/>
      <c r="KEW10" s="34"/>
      <c r="KEX10" s="34"/>
      <c r="KEY10" s="34"/>
      <c r="KEZ10" s="34"/>
      <c r="KFA10" s="34"/>
      <c r="KFB10" s="34"/>
      <c r="KFC10" s="34"/>
      <c r="KFD10" s="34"/>
      <c r="KFE10" s="34"/>
      <c r="KFF10" s="34"/>
      <c r="KFG10" s="34"/>
      <c r="KFH10" s="34"/>
      <c r="KFI10" s="34"/>
      <c r="KFJ10" s="34"/>
      <c r="KFK10" s="34"/>
      <c r="KFL10" s="34"/>
      <c r="KFM10" s="34"/>
      <c r="KFN10" s="34"/>
      <c r="KFO10" s="34"/>
      <c r="KFP10" s="34"/>
      <c r="KFQ10" s="34"/>
      <c r="KFR10" s="34"/>
      <c r="KFS10" s="34"/>
      <c r="KFT10" s="34"/>
      <c r="KFU10" s="34"/>
      <c r="KFV10" s="34"/>
      <c r="KFW10" s="34"/>
      <c r="KFX10" s="34"/>
      <c r="KFY10" s="34"/>
      <c r="KFZ10" s="34"/>
      <c r="KGA10" s="34"/>
      <c r="KGB10" s="34"/>
      <c r="KGC10" s="34"/>
      <c r="KGD10" s="34"/>
      <c r="KGE10" s="34"/>
      <c r="KGF10" s="34"/>
      <c r="KGG10" s="34"/>
      <c r="KGH10" s="34"/>
      <c r="KGI10" s="34"/>
      <c r="KGJ10" s="34"/>
      <c r="KGK10" s="34"/>
      <c r="KGL10" s="34"/>
      <c r="KGM10" s="34"/>
      <c r="KGN10" s="34"/>
      <c r="KGO10" s="34"/>
      <c r="KGP10" s="34"/>
      <c r="KGQ10" s="34"/>
      <c r="KGR10" s="34"/>
      <c r="KGS10" s="34"/>
      <c r="KGT10" s="34"/>
      <c r="KGU10" s="34"/>
      <c r="KGV10" s="34"/>
      <c r="KGW10" s="34"/>
      <c r="KGX10" s="34"/>
      <c r="KGY10" s="34"/>
      <c r="KGZ10" s="34"/>
      <c r="KHA10" s="34"/>
      <c r="KHB10" s="34"/>
      <c r="KHC10" s="34"/>
      <c r="KHD10" s="34"/>
      <c r="KHE10" s="34"/>
      <c r="KHF10" s="34"/>
      <c r="KHG10" s="34"/>
      <c r="KHH10" s="34"/>
      <c r="KHI10" s="34"/>
      <c r="KHJ10" s="34"/>
      <c r="KHK10" s="34"/>
      <c r="KHL10" s="34"/>
      <c r="KHM10" s="34"/>
      <c r="KHN10" s="34"/>
      <c r="KHO10" s="34"/>
      <c r="KHP10" s="34"/>
      <c r="KHQ10" s="34"/>
      <c r="KHR10" s="34"/>
      <c r="KHS10" s="34"/>
      <c r="KHT10" s="34"/>
      <c r="KHU10" s="34"/>
      <c r="KHV10" s="34"/>
      <c r="KHW10" s="34"/>
      <c r="KHX10" s="34"/>
      <c r="KHY10" s="34"/>
      <c r="KHZ10" s="34"/>
      <c r="KIA10" s="34"/>
      <c r="KIB10" s="34"/>
      <c r="KIC10" s="34"/>
      <c r="KID10" s="34"/>
      <c r="KIE10" s="34"/>
      <c r="KIF10" s="34"/>
      <c r="KIG10" s="34"/>
      <c r="KIH10" s="34"/>
      <c r="KII10" s="34"/>
      <c r="KIJ10" s="34"/>
      <c r="KIK10" s="34"/>
      <c r="KIL10" s="34"/>
      <c r="KIM10" s="34"/>
      <c r="KIN10" s="34"/>
      <c r="KIO10" s="34"/>
      <c r="KIP10" s="34"/>
      <c r="KIQ10" s="34"/>
      <c r="KIR10" s="34"/>
      <c r="KIS10" s="34"/>
      <c r="KIT10" s="34"/>
      <c r="KIU10" s="34"/>
      <c r="KIV10" s="34"/>
      <c r="KIW10" s="34"/>
      <c r="KIX10" s="34"/>
      <c r="KIY10" s="34"/>
      <c r="KIZ10" s="34"/>
      <c r="KJA10" s="34"/>
      <c r="KJB10" s="34"/>
      <c r="KJC10" s="34"/>
      <c r="KJD10" s="34"/>
      <c r="KJE10" s="34"/>
      <c r="KJF10" s="34"/>
      <c r="KJG10" s="34"/>
      <c r="KJH10" s="34"/>
      <c r="KJI10" s="34"/>
      <c r="KJJ10" s="34"/>
      <c r="KJK10" s="34"/>
      <c r="KJL10" s="34"/>
      <c r="KJM10" s="34"/>
      <c r="KJN10" s="34"/>
      <c r="KJO10" s="34"/>
      <c r="KJP10" s="34"/>
      <c r="KJQ10" s="34"/>
      <c r="KJR10" s="34"/>
      <c r="KJS10" s="34"/>
      <c r="KJT10" s="34"/>
      <c r="KJU10" s="34"/>
      <c r="KJV10" s="34"/>
      <c r="KJW10" s="34"/>
      <c r="KJX10" s="34"/>
      <c r="KJY10" s="34"/>
      <c r="KJZ10" s="34"/>
      <c r="KKA10" s="34"/>
      <c r="KKB10" s="34"/>
      <c r="KKC10" s="34"/>
      <c r="KKD10" s="34"/>
      <c r="KKE10" s="34"/>
      <c r="KKF10" s="34"/>
      <c r="KKG10" s="34"/>
      <c r="KKH10" s="34"/>
      <c r="KKI10" s="34"/>
      <c r="KKJ10" s="34"/>
      <c r="KKK10" s="34"/>
      <c r="KKL10" s="34"/>
      <c r="KKM10" s="34"/>
      <c r="KKN10" s="34"/>
      <c r="KKO10" s="34"/>
      <c r="KKP10" s="34"/>
      <c r="KKQ10" s="34"/>
      <c r="KKR10" s="34"/>
      <c r="KKS10" s="34"/>
      <c r="KKT10" s="34"/>
      <c r="KKU10" s="34"/>
      <c r="KKV10" s="34"/>
      <c r="KKW10" s="34"/>
      <c r="KKX10" s="34"/>
      <c r="KKY10" s="34"/>
      <c r="KKZ10" s="34"/>
      <c r="KLA10" s="34"/>
      <c r="KLB10" s="34"/>
      <c r="KLC10" s="34"/>
      <c r="KLD10" s="34"/>
      <c r="KLE10" s="34"/>
      <c r="KLF10" s="34"/>
      <c r="KLG10" s="34"/>
      <c r="KLH10" s="34"/>
      <c r="KLI10" s="34"/>
      <c r="KLJ10" s="34"/>
      <c r="KLK10" s="34"/>
      <c r="KLL10" s="34"/>
      <c r="KLM10" s="34"/>
      <c r="KLN10" s="34"/>
      <c r="KLO10" s="34"/>
      <c r="KLP10" s="34"/>
      <c r="KLQ10" s="34"/>
      <c r="KLR10" s="34"/>
      <c r="KLS10" s="34"/>
      <c r="KLT10" s="34"/>
      <c r="KLU10" s="34"/>
      <c r="KLV10" s="34"/>
      <c r="KLW10" s="34"/>
      <c r="KLX10" s="34"/>
      <c r="KLY10" s="34"/>
      <c r="KLZ10" s="34"/>
      <c r="KMA10" s="34"/>
      <c r="KMB10" s="34"/>
      <c r="KMC10" s="34"/>
      <c r="KMD10" s="34"/>
      <c r="KME10" s="34"/>
      <c r="KMF10" s="34"/>
      <c r="KMG10" s="34"/>
      <c r="KMH10" s="34"/>
      <c r="KMI10" s="34"/>
      <c r="KMJ10" s="34"/>
      <c r="KMK10" s="34"/>
      <c r="KML10" s="34"/>
      <c r="KMM10" s="34"/>
      <c r="KMN10" s="34"/>
      <c r="KMO10" s="34"/>
      <c r="KMP10" s="34"/>
      <c r="KMQ10" s="34"/>
      <c r="KMR10" s="34"/>
      <c r="KMS10" s="34"/>
      <c r="KMT10" s="34"/>
      <c r="KMU10" s="34"/>
      <c r="KMV10" s="34"/>
      <c r="KMW10" s="34"/>
      <c r="KMX10" s="34"/>
      <c r="KMY10" s="34"/>
      <c r="KMZ10" s="34"/>
      <c r="KNA10" s="34"/>
      <c r="KNB10" s="34"/>
      <c r="KNC10" s="34"/>
      <c r="KND10" s="34"/>
      <c r="KNE10" s="34"/>
      <c r="KNF10" s="34"/>
      <c r="KNG10" s="34"/>
      <c r="KNH10" s="34"/>
      <c r="KNI10" s="34"/>
      <c r="KNJ10" s="34"/>
      <c r="KNK10" s="34"/>
      <c r="KNL10" s="34"/>
      <c r="KNM10" s="34"/>
      <c r="KNN10" s="34"/>
      <c r="KNO10" s="34"/>
      <c r="KNP10" s="34"/>
      <c r="KNQ10" s="34"/>
      <c r="KNR10" s="34"/>
      <c r="KNS10" s="34"/>
      <c r="KNT10" s="34"/>
      <c r="KNU10" s="34"/>
      <c r="KNV10" s="34"/>
      <c r="KNW10" s="34"/>
      <c r="KNX10" s="34"/>
      <c r="KNY10" s="34"/>
      <c r="KNZ10" s="34"/>
      <c r="KOA10" s="34"/>
      <c r="KOB10" s="34"/>
      <c r="KOC10" s="34"/>
      <c r="KOD10" s="34"/>
      <c r="KOE10" s="34"/>
      <c r="KOF10" s="34"/>
      <c r="KOG10" s="34"/>
      <c r="KOH10" s="34"/>
      <c r="KOI10" s="34"/>
      <c r="KOJ10" s="34"/>
      <c r="KOK10" s="34"/>
      <c r="KOL10" s="34"/>
      <c r="KOM10" s="34"/>
      <c r="KON10" s="34"/>
      <c r="KOO10" s="34"/>
      <c r="KOP10" s="34"/>
      <c r="KOQ10" s="34"/>
      <c r="KOR10" s="34"/>
      <c r="KOS10" s="34"/>
      <c r="KOT10" s="34"/>
      <c r="KOU10" s="34"/>
      <c r="KOV10" s="34"/>
      <c r="KOW10" s="34"/>
      <c r="KOX10" s="34"/>
      <c r="KOY10" s="34"/>
      <c r="KOZ10" s="34"/>
      <c r="KPA10" s="34"/>
      <c r="KPB10" s="34"/>
      <c r="KPC10" s="34"/>
      <c r="KPD10" s="34"/>
      <c r="KPE10" s="34"/>
      <c r="KPF10" s="34"/>
      <c r="KPG10" s="34"/>
      <c r="KPH10" s="34"/>
      <c r="KPI10" s="34"/>
      <c r="KPJ10" s="34"/>
      <c r="KPK10" s="34"/>
      <c r="KPL10" s="34"/>
      <c r="KPM10" s="34"/>
      <c r="KPN10" s="34"/>
      <c r="KPO10" s="34"/>
      <c r="KPP10" s="34"/>
      <c r="KPQ10" s="34"/>
      <c r="KPR10" s="34"/>
      <c r="KPS10" s="34"/>
      <c r="KPT10" s="34"/>
      <c r="KPU10" s="34"/>
      <c r="KPV10" s="34"/>
      <c r="KPW10" s="34"/>
      <c r="KPX10" s="34"/>
      <c r="KPY10" s="34"/>
      <c r="KPZ10" s="34"/>
      <c r="KQA10" s="34"/>
      <c r="KQB10" s="34"/>
      <c r="KQC10" s="34"/>
      <c r="KQD10" s="34"/>
      <c r="KQE10" s="34"/>
      <c r="KQF10" s="34"/>
      <c r="KQG10" s="34"/>
      <c r="KQH10" s="34"/>
      <c r="KQI10" s="34"/>
      <c r="KQJ10" s="34"/>
      <c r="KQK10" s="34"/>
      <c r="KQL10" s="34"/>
      <c r="KQM10" s="34"/>
      <c r="KQN10" s="34"/>
      <c r="KQO10" s="34"/>
      <c r="KQP10" s="34"/>
      <c r="KQQ10" s="34"/>
      <c r="KQR10" s="34"/>
      <c r="KQS10" s="34"/>
      <c r="KQT10" s="34"/>
      <c r="KQU10" s="34"/>
      <c r="KQV10" s="34"/>
      <c r="KQW10" s="34"/>
      <c r="KQX10" s="34"/>
      <c r="KQY10" s="34"/>
      <c r="KQZ10" s="34"/>
      <c r="KRA10" s="34"/>
      <c r="KRB10" s="34"/>
      <c r="KRC10" s="34"/>
      <c r="KRD10" s="34"/>
      <c r="KRE10" s="34"/>
      <c r="KRF10" s="34"/>
      <c r="KRG10" s="34"/>
      <c r="KRH10" s="34"/>
      <c r="KRI10" s="34"/>
      <c r="KRJ10" s="34"/>
      <c r="KRK10" s="34"/>
      <c r="KRL10" s="34"/>
      <c r="KRM10" s="34"/>
      <c r="KRN10" s="34"/>
      <c r="KRO10" s="34"/>
      <c r="KRP10" s="34"/>
      <c r="KRQ10" s="34"/>
      <c r="KRR10" s="34"/>
      <c r="KRS10" s="34"/>
      <c r="KRT10" s="34"/>
      <c r="KRU10" s="34"/>
      <c r="KRV10" s="34"/>
      <c r="KRW10" s="34"/>
      <c r="KRX10" s="34"/>
      <c r="KRY10" s="34"/>
      <c r="KRZ10" s="34"/>
      <c r="KSA10" s="34"/>
      <c r="KSB10" s="34"/>
      <c r="KSC10" s="34"/>
      <c r="KSD10" s="34"/>
      <c r="KSE10" s="34"/>
      <c r="KSF10" s="34"/>
      <c r="KSG10" s="34"/>
      <c r="KSH10" s="34"/>
      <c r="KSI10" s="34"/>
      <c r="KSJ10" s="34"/>
      <c r="KSK10" s="34"/>
      <c r="KSL10" s="34"/>
      <c r="KSM10" s="34"/>
      <c r="KSN10" s="34"/>
      <c r="KSO10" s="34"/>
      <c r="KSP10" s="34"/>
      <c r="KSQ10" s="34"/>
      <c r="KSR10" s="34"/>
      <c r="KSS10" s="34"/>
      <c r="KST10" s="34"/>
      <c r="KSU10" s="34"/>
      <c r="KSV10" s="34"/>
      <c r="KSW10" s="34"/>
      <c r="KSX10" s="34"/>
      <c r="KSY10" s="34"/>
      <c r="KSZ10" s="34"/>
      <c r="KTA10" s="34"/>
      <c r="KTB10" s="34"/>
      <c r="KTC10" s="34"/>
      <c r="KTD10" s="34"/>
      <c r="KTE10" s="34"/>
      <c r="KTF10" s="34"/>
      <c r="KTG10" s="34"/>
      <c r="KTH10" s="34"/>
      <c r="KTI10" s="34"/>
      <c r="KTJ10" s="34"/>
      <c r="KTK10" s="34"/>
      <c r="KTL10" s="34"/>
      <c r="KTM10" s="34"/>
      <c r="KTN10" s="34"/>
      <c r="KTO10" s="34"/>
      <c r="KTP10" s="34"/>
      <c r="KTQ10" s="34"/>
      <c r="KTR10" s="34"/>
      <c r="KTS10" s="34"/>
      <c r="KTT10" s="34"/>
      <c r="KTU10" s="34"/>
      <c r="KTV10" s="34"/>
      <c r="KTW10" s="34"/>
      <c r="KTX10" s="34"/>
      <c r="KTY10" s="34"/>
      <c r="KTZ10" s="34"/>
      <c r="KUA10" s="34"/>
      <c r="KUB10" s="34"/>
      <c r="KUC10" s="34"/>
      <c r="KUD10" s="34"/>
      <c r="KUE10" s="34"/>
      <c r="KUF10" s="34"/>
      <c r="KUG10" s="34"/>
      <c r="KUH10" s="34"/>
      <c r="KUI10" s="34"/>
      <c r="KUJ10" s="34"/>
      <c r="KUK10" s="34"/>
      <c r="KUL10" s="34"/>
      <c r="KUM10" s="34"/>
      <c r="KUN10" s="34"/>
      <c r="KUO10" s="34"/>
      <c r="KUP10" s="34"/>
      <c r="KUQ10" s="34"/>
      <c r="KUR10" s="34"/>
      <c r="KUS10" s="34"/>
      <c r="KUT10" s="34"/>
      <c r="KUU10" s="34"/>
      <c r="KUV10" s="34"/>
      <c r="KUW10" s="34"/>
      <c r="KUX10" s="34"/>
      <c r="KUY10" s="34"/>
      <c r="KUZ10" s="34"/>
      <c r="KVA10" s="34"/>
      <c r="KVB10" s="34"/>
      <c r="KVC10" s="34"/>
      <c r="KVD10" s="34"/>
      <c r="KVE10" s="34"/>
      <c r="KVF10" s="34"/>
      <c r="KVG10" s="34"/>
      <c r="KVH10" s="34"/>
      <c r="KVI10" s="34"/>
      <c r="KVJ10" s="34"/>
      <c r="KVK10" s="34"/>
      <c r="KVL10" s="34"/>
      <c r="KVM10" s="34"/>
      <c r="KVN10" s="34"/>
      <c r="KVO10" s="34"/>
      <c r="KVP10" s="34"/>
      <c r="KVQ10" s="34"/>
      <c r="KVR10" s="34"/>
      <c r="KVS10" s="34"/>
      <c r="KVT10" s="34"/>
      <c r="KVU10" s="34"/>
      <c r="KVV10" s="34"/>
      <c r="KVW10" s="34"/>
      <c r="KVX10" s="34"/>
      <c r="KVY10" s="34"/>
      <c r="KVZ10" s="34"/>
      <c r="KWA10" s="34"/>
      <c r="KWB10" s="34"/>
      <c r="KWC10" s="34"/>
      <c r="KWD10" s="34"/>
      <c r="KWE10" s="34"/>
      <c r="KWF10" s="34"/>
      <c r="KWG10" s="34"/>
      <c r="KWH10" s="34"/>
      <c r="KWI10" s="34"/>
      <c r="KWJ10" s="34"/>
      <c r="KWK10" s="34"/>
      <c r="KWL10" s="34"/>
      <c r="KWM10" s="34"/>
      <c r="KWN10" s="34"/>
      <c r="KWO10" s="34"/>
      <c r="KWP10" s="34"/>
      <c r="KWQ10" s="34"/>
      <c r="KWR10" s="34"/>
      <c r="KWS10" s="34"/>
      <c r="KWT10" s="34"/>
      <c r="KWU10" s="34"/>
      <c r="KWV10" s="34"/>
      <c r="KWW10" s="34"/>
      <c r="KWX10" s="34"/>
      <c r="KWY10" s="34"/>
      <c r="KWZ10" s="34"/>
      <c r="KXA10" s="34"/>
      <c r="KXB10" s="34"/>
      <c r="KXC10" s="34"/>
      <c r="KXD10" s="34"/>
      <c r="KXE10" s="34"/>
      <c r="KXF10" s="34"/>
      <c r="KXG10" s="34"/>
      <c r="KXH10" s="34"/>
      <c r="KXI10" s="34"/>
      <c r="KXJ10" s="34"/>
      <c r="KXK10" s="34"/>
      <c r="KXL10" s="34"/>
      <c r="KXM10" s="34"/>
      <c r="KXN10" s="34"/>
      <c r="KXO10" s="34"/>
      <c r="KXP10" s="34"/>
      <c r="KXQ10" s="34"/>
      <c r="KXR10" s="34"/>
      <c r="KXS10" s="34"/>
      <c r="KXT10" s="34"/>
      <c r="KXU10" s="34"/>
      <c r="KXV10" s="34"/>
      <c r="KXW10" s="34"/>
      <c r="KXX10" s="34"/>
      <c r="KXY10" s="34"/>
      <c r="KXZ10" s="34"/>
      <c r="KYA10" s="34"/>
      <c r="KYB10" s="34"/>
      <c r="KYC10" s="34"/>
      <c r="KYD10" s="34"/>
      <c r="KYE10" s="34"/>
      <c r="KYF10" s="34"/>
      <c r="KYG10" s="34"/>
      <c r="KYH10" s="34"/>
      <c r="KYI10" s="34"/>
      <c r="KYJ10" s="34"/>
      <c r="KYK10" s="34"/>
      <c r="KYL10" s="34"/>
      <c r="KYM10" s="34"/>
      <c r="KYN10" s="34"/>
      <c r="KYO10" s="34"/>
      <c r="KYP10" s="34"/>
      <c r="KYQ10" s="34"/>
      <c r="KYR10" s="34"/>
      <c r="KYS10" s="34"/>
      <c r="KYT10" s="34"/>
      <c r="KYU10" s="34"/>
      <c r="KYV10" s="34"/>
      <c r="KYW10" s="34"/>
      <c r="KYX10" s="34"/>
      <c r="KYY10" s="34"/>
      <c r="KYZ10" s="34"/>
      <c r="KZA10" s="34"/>
      <c r="KZB10" s="34"/>
      <c r="KZC10" s="34"/>
      <c r="KZD10" s="34"/>
      <c r="KZE10" s="34"/>
      <c r="KZF10" s="34"/>
      <c r="KZG10" s="34"/>
      <c r="KZH10" s="34"/>
      <c r="KZI10" s="34"/>
      <c r="KZJ10" s="34"/>
      <c r="KZK10" s="34"/>
      <c r="KZL10" s="34"/>
      <c r="KZM10" s="34"/>
      <c r="KZN10" s="34"/>
      <c r="KZO10" s="34"/>
      <c r="KZP10" s="34"/>
      <c r="KZQ10" s="34"/>
      <c r="KZR10" s="34"/>
      <c r="KZS10" s="34"/>
      <c r="KZT10" s="34"/>
      <c r="KZU10" s="34"/>
      <c r="KZV10" s="34"/>
      <c r="KZW10" s="34"/>
      <c r="KZX10" s="34"/>
      <c r="KZY10" s="34"/>
      <c r="KZZ10" s="34"/>
      <c r="LAA10" s="34"/>
      <c r="LAB10" s="34"/>
      <c r="LAC10" s="34"/>
      <c r="LAD10" s="34"/>
      <c r="LAE10" s="34"/>
      <c r="LAF10" s="34"/>
      <c r="LAG10" s="34"/>
      <c r="LAH10" s="34"/>
      <c r="LAI10" s="34"/>
      <c r="LAJ10" s="34"/>
      <c r="LAK10" s="34"/>
      <c r="LAL10" s="34"/>
      <c r="LAM10" s="34"/>
      <c r="LAN10" s="34"/>
      <c r="LAO10" s="34"/>
      <c r="LAP10" s="34"/>
      <c r="LAQ10" s="34"/>
      <c r="LAR10" s="34"/>
      <c r="LAS10" s="34"/>
      <c r="LAT10" s="34"/>
      <c r="LAU10" s="34"/>
      <c r="LAV10" s="34"/>
      <c r="LAW10" s="34"/>
      <c r="LAX10" s="34"/>
      <c r="LAY10" s="34"/>
      <c r="LAZ10" s="34"/>
      <c r="LBA10" s="34"/>
      <c r="LBB10" s="34"/>
      <c r="LBC10" s="34"/>
      <c r="LBD10" s="34"/>
      <c r="LBE10" s="34"/>
      <c r="LBF10" s="34"/>
      <c r="LBG10" s="34"/>
      <c r="LBH10" s="34"/>
      <c r="LBI10" s="34"/>
      <c r="LBJ10" s="34"/>
      <c r="LBK10" s="34"/>
      <c r="LBL10" s="34"/>
      <c r="LBM10" s="34"/>
      <c r="LBN10" s="34"/>
      <c r="LBO10" s="34"/>
      <c r="LBP10" s="34"/>
      <c r="LBQ10" s="34"/>
      <c r="LBR10" s="34"/>
      <c r="LBS10" s="34"/>
      <c r="LBT10" s="34"/>
      <c r="LBU10" s="34"/>
      <c r="LBV10" s="34"/>
      <c r="LBW10" s="34"/>
      <c r="LBX10" s="34"/>
      <c r="LBY10" s="34"/>
      <c r="LBZ10" s="34"/>
      <c r="LCA10" s="34"/>
      <c r="LCB10" s="34"/>
      <c r="LCC10" s="34"/>
      <c r="LCD10" s="34"/>
      <c r="LCE10" s="34"/>
      <c r="LCF10" s="34"/>
      <c r="LCG10" s="34"/>
      <c r="LCH10" s="34"/>
      <c r="LCI10" s="34"/>
      <c r="LCJ10" s="34"/>
      <c r="LCK10" s="34"/>
      <c r="LCL10" s="34"/>
      <c r="LCM10" s="34"/>
      <c r="LCN10" s="34"/>
      <c r="LCO10" s="34"/>
      <c r="LCP10" s="34"/>
      <c r="LCQ10" s="34"/>
      <c r="LCR10" s="34"/>
      <c r="LCS10" s="34"/>
      <c r="LCT10" s="34"/>
      <c r="LCU10" s="34"/>
      <c r="LCV10" s="34"/>
      <c r="LCW10" s="34"/>
      <c r="LCX10" s="34"/>
      <c r="LCY10" s="34"/>
      <c r="LCZ10" s="34"/>
      <c r="LDA10" s="34"/>
      <c r="LDB10" s="34"/>
      <c r="LDC10" s="34"/>
      <c r="LDD10" s="34"/>
      <c r="LDE10" s="34"/>
      <c r="LDF10" s="34"/>
      <c r="LDG10" s="34"/>
      <c r="LDH10" s="34"/>
      <c r="LDI10" s="34"/>
      <c r="LDJ10" s="34"/>
      <c r="LDK10" s="34"/>
      <c r="LDL10" s="34"/>
      <c r="LDM10" s="34"/>
      <c r="LDN10" s="34"/>
      <c r="LDO10" s="34"/>
      <c r="LDP10" s="34"/>
      <c r="LDQ10" s="34"/>
      <c r="LDR10" s="34"/>
      <c r="LDS10" s="34"/>
      <c r="LDT10" s="34"/>
      <c r="LDU10" s="34"/>
      <c r="LDV10" s="34"/>
      <c r="LDW10" s="34"/>
      <c r="LDX10" s="34"/>
      <c r="LDY10" s="34"/>
      <c r="LDZ10" s="34"/>
      <c r="LEA10" s="34"/>
      <c r="LEB10" s="34"/>
      <c r="LEC10" s="34"/>
      <c r="LED10" s="34"/>
      <c r="LEE10" s="34"/>
      <c r="LEF10" s="34"/>
      <c r="LEG10" s="34"/>
      <c r="LEH10" s="34"/>
      <c r="LEI10" s="34"/>
      <c r="LEJ10" s="34"/>
      <c r="LEK10" s="34"/>
      <c r="LEL10" s="34"/>
      <c r="LEM10" s="34"/>
      <c r="LEN10" s="34"/>
      <c r="LEO10" s="34"/>
      <c r="LEP10" s="34"/>
      <c r="LEQ10" s="34"/>
      <c r="LER10" s="34"/>
      <c r="LES10" s="34"/>
      <c r="LET10" s="34"/>
      <c r="LEU10" s="34"/>
      <c r="LEV10" s="34"/>
      <c r="LEW10" s="34"/>
      <c r="LEX10" s="34"/>
      <c r="LEY10" s="34"/>
      <c r="LEZ10" s="34"/>
      <c r="LFA10" s="34"/>
      <c r="LFB10" s="34"/>
      <c r="LFC10" s="34"/>
      <c r="LFD10" s="34"/>
      <c r="LFE10" s="34"/>
      <c r="LFF10" s="34"/>
      <c r="LFG10" s="34"/>
      <c r="LFH10" s="34"/>
      <c r="LFI10" s="34"/>
      <c r="LFJ10" s="34"/>
      <c r="LFK10" s="34"/>
      <c r="LFL10" s="34"/>
      <c r="LFM10" s="34"/>
      <c r="LFN10" s="34"/>
      <c r="LFO10" s="34"/>
      <c r="LFP10" s="34"/>
      <c r="LFQ10" s="34"/>
      <c r="LFR10" s="34"/>
      <c r="LFS10" s="34"/>
      <c r="LFT10" s="34"/>
      <c r="LFU10" s="34"/>
      <c r="LFV10" s="34"/>
      <c r="LFW10" s="34"/>
      <c r="LFX10" s="34"/>
      <c r="LFY10" s="34"/>
      <c r="LFZ10" s="34"/>
      <c r="LGA10" s="34"/>
      <c r="LGB10" s="34"/>
      <c r="LGC10" s="34"/>
      <c r="LGD10" s="34"/>
      <c r="LGE10" s="34"/>
      <c r="LGF10" s="34"/>
      <c r="LGG10" s="34"/>
      <c r="LGH10" s="34"/>
      <c r="LGI10" s="34"/>
      <c r="LGJ10" s="34"/>
      <c r="LGK10" s="34"/>
      <c r="LGL10" s="34"/>
      <c r="LGM10" s="34"/>
      <c r="LGN10" s="34"/>
      <c r="LGO10" s="34"/>
      <c r="LGP10" s="34"/>
      <c r="LGQ10" s="34"/>
      <c r="LGR10" s="34"/>
      <c r="LGS10" s="34"/>
      <c r="LGT10" s="34"/>
      <c r="LGU10" s="34"/>
      <c r="LGV10" s="34"/>
      <c r="LGW10" s="34"/>
      <c r="LGX10" s="34"/>
      <c r="LGY10" s="34"/>
      <c r="LGZ10" s="34"/>
      <c r="LHA10" s="34"/>
      <c r="LHB10" s="34"/>
      <c r="LHC10" s="34"/>
      <c r="LHD10" s="34"/>
      <c r="LHE10" s="34"/>
      <c r="LHF10" s="34"/>
      <c r="LHG10" s="34"/>
      <c r="LHH10" s="34"/>
      <c r="LHI10" s="34"/>
      <c r="LHJ10" s="34"/>
      <c r="LHK10" s="34"/>
      <c r="LHL10" s="34"/>
      <c r="LHM10" s="34"/>
      <c r="LHN10" s="34"/>
      <c r="LHO10" s="34"/>
      <c r="LHP10" s="34"/>
      <c r="LHQ10" s="34"/>
      <c r="LHR10" s="34"/>
      <c r="LHS10" s="34"/>
      <c r="LHT10" s="34"/>
      <c r="LHU10" s="34"/>
      <c r="LHV10" s="34"/>
      <c r="LHW10" s="34"/>
      <c r="LHX10" s="34"/>
      <c r="LHY10" s="34"/>
      <c r="LHZ10" s="34"/>
      <c r="LIA10" s="34"/>
      <c r="LIB10" s="34"/>
      <c r="LIC10" s="34"/>
      <c r="LID10" s="34"/>
      <c r="LIE10" s="34"/>
      <c r="LIF10" s="34"/>
      <c r="LIG10" s="34"/>
      <c r="LIH10" s="34"/>
      <c r="LII10" s="34"/>
      <c r="LIJ10" s="34"/>
      <c r="LIK10" s="34"/>
      <c r="LIL10" s="34"/>
      <c r="LIM10" s="34"/>
      <c r="LIN10" s="34"/>
      <c r="LIO10" s="34"/>
      <c r="LIP10" s="34"/>
      <c r="LIQ10" s="34"/>
      <c r="LIR10" s="34"/>
      <c r="LIS10" s="34"/>
      <c r="LIT10" s="34"/>
      <c r="LIU10" s="34"/>
      <c r="LIV10" s="34"/>
      <c r="LIW10" s="34"/>
      <c r="LIX10" s="34"/>
      <c r="LIY10" s="34"/>
      <c r="LIZ10" s="34"/>
      <c r="LJA10" s="34"/>
      <c r="LJB10" s="34"/>
      <c r="LJC10" s="34"/>
      <c r="LJD10" s="34"/>
      <c r="LJE10" s="34"/>
      <c r="LJF10" s="34"/>
      <c r="LJG10" s="34"/>
      <c r="LJH10" s="34"/>
      <c r="LJI10" s="34"/>
      <c r="LJJ10" s="34"/>
      <c r="LJK10" s="34"/>
      <c r="LJL10" s="34"/>
      <c r="LJM10" s="34"/>
      <c r="LJN10" s="34"/>
      <c r="LJO10" s="34"/>
      <c r="LJP10" s="34"/>
      <c r="LJQ10" s="34"/>
      <c r="LJR10" s="34"/>
      <c r="LJS10" s="34"/>
      <c r="LJT10" s="34"/>
      <c r="LJU10" s="34"/>
      <c r="LJV10" s="34"/>
      <c r="LJW10" s="34"/>
      <c r="LJX10" s="34"/>
      <c r="LJY10" s="34"/>
      <c r="LJZ10" s="34"/>
      <c r="LKA10" s="34"/>
      <c r="LKB10" s="34"/>
      <c r="LKC10" s="34"/>
      <c r="LKD10" s="34"/>
      <c r="LKE10" s="34"/>
      <c r="LKF10" s="34"/>
      <c r="LKG10" s="34"/>
      <c r="LKH10" s="34"/>
      <c r="LKI10" s="34"/>
      <c r="LKJ10" s="34"/>
      <c r="LKK10" s="34"/>
      <c r="LKL10" s="34"/>
      <c r="LKM10" s="34"/>
      <c r="LKN10" s="34"/>
      <c r="LKO10" s="34"/>
      <c r="LKP10" s="34"/>
      <c r="LKQ10" s="34"/>
      <c r="LKR10" s="34"/>
      <c r="LKS10" s="34"/>
      <c r="LKT10" s="34"/>
      <c r="LKU10" s="34"/>
      <c r="LKV10" s="34"/>
      <c r="LKW10" s="34"/>
      <c r="LKX10" s="34"/>
      <c r="LKY10" s="34"/>
      <c r="LKZ10" s="34"/>
      <c r="LLA10" s="34"/>
      <c r="LLB10" s="34"/>
      <c r="LLC10" s="34"/>
      <c r="LLD10" s="34"/>
      <c r="LLE10" s="34"/>
      <c r="LLF10" s="34"/>
      <c r="LLG10" s="34"/>
      <c r="LLH10" s="34"/>
      <c r="LLI10" s="34"/>
      <c r="LLJ10" s="34"/>
      <c r="LLK10" s="34"/>
      <c r="LLL10" s="34"/>
      <c r="LLM10" s="34"/>
      <c r="LLN10" s="34"/>
      <c r="LLO10" s="34"/>
      <c r="LLP10" s="34"/>
      <c r="LLQ10" s="34"/>
      <c r="LLR10" s="34"/>
      <c r="LLS10" s="34"/>
      <c r="LLT10" s="34"/>
      <c r="LLU10" s="34"/>
      <c r="LLV10" s="34"/>
      <c r="LLW10" s="34"/>
      <c r="LLX10" s="34"/>
      <c r="LLY10" s="34"/>
      <c r="LLZ10" s="34"/>
      <c r="LMA10" s="34"/>
      <c r="LMB10" s="34"/>
      <c r="LMC10" s="34"/>
      <c r="LMD10" s="34"/>
      <c r="LME10" s="34"/>
      <c r="LMF10" s="34"/>
      <c r="LMG10" s="34"/>
      <c r="LMH10" s="34"/>
      <c r="LMI10" s="34"/>
      <c r="LMJ10" s="34"/>
      <c r="LMK10" s="34"/>
      <c r="LML10" s="34"/>
      <c r="LMM10" s="34"/>
      <c r="LMN10" s="34"/>
      <c r="LMO10" s="34"/>
      <c r="LMP10" s="34"/>
      <c r="LMQ10" s="34"/>
      <c r="LMR10" s="34"/>
      <c r="LMS10" s="34"/>
      <c r="LMT10" s="34"/>
      <c r="LMU10" s="34"/>
      <c r="LMV10" s="34"/>
      <c r="LMW10" s="34"/>
      <c r="LMX10" s="34"/>
      <c r="LMY10" s="34"/>
      <c r="LMZ10" s="34"/>
      <c r="LNA10" s="34"/>
      <c r="LNB10" s="34"/>
      <c r="LNC10" s="34"/>
      <c r="LND10" s="34"/>
      <c r="LNE10" s="34"/>
      <c r="LNF10" s="34"/>
      <c r="LNG10" s="34"/>
      <c r="LNH10" s="34"/>
      <c r="LNI10" s="34"/>
      <c r="LNJ10" s="34"/>
      <c r="LNK10" s="34"/>
      <c r="LNL10" s="34"/>
      <c r="LNM10" s="34"/>
      <c r="LNN10" s="34"/>
      <c r="LNO10" s="34"/>
      <c r="LNP10" s="34"/>
      <c r="LNQ10" s="34"/>
      <c r="LNR10" s="34"/>
      <c r="LNS10" s="34"/>
      <c r="LNT10" s="34"/>
      <c r="LNU10" s="34"/>
      <c r="LNV10" s="34"/>
      <c r="LNW10" s="34"/>
      <c r="LNX10" s="34"/>
      <c r="LNY10" s="34"/>
      <c r="LNZ10" s="34"/>
      <c r="LOA10" s="34"/>
      <c r="LOB10" s="34"/>
      <c r="LOC10" s="34"/>
      <c r="LOD10" s="34"/>
      <c r="LOE10" s="34"/>
      <c r="LOF10" s="34"/>
      <c r="LOG10" s="34"/>
      <c r="LOH10" s="34"/>
      <c r="LOI10" s="34"/>
      <c r="LOJ10" s="34"/>
      <c r="LOK10" s="34"/>
      <c r="LOL10" s="34"/>
      <c r="LOM10" s="34"/>
      <c r="LON10" s="34"/>
      <c r="LOO10" s="34"/>
      <c r="LOP10" s="34"/>
      <c r="LOQ10" s="34"/>
      <c r="LOR10" s="34"/>
      <c r="LOS10" s="34"/>
      <c r="LOT10" s="34"/>
      <c r="LOU10" s="34"/>
      <c r="LOV10" s="34"/>
      <c r="LOW10" s="34"/>
      <c r="LOX10" s="34"/>
      <c r="LOY10" s="34"/>
      <c r="LOZ10" s="34"/>
      <c r="LPA10" s="34"/>
      <c r="LPB10" s="34"/>
      <c r="LPC10" s="34"/>
      <c r="LPD10" s="34"/>
      <c r="LPE10" s="34"/>
      <c r="LPF10" s="34"/>
      <c r="LPG10" s="34"/>
      <c r="LPH10" s="34"/>
      <c r="LPI10" s="34"/>
      <c r="LPJ10" s="34"/>
      <c r="LPK10" s="34"/>
      <c r="LPL10" s="34"/>
      <c r="LPM10" s="34"/>
      <c r="LPN10" s="34"/>
      <c r="LPO10" s="34"/>
      <c r="LPP10" s="34"/>
      <c r="LPQ10" s="34"/>
      <c r="LPR10" s="34"/>
      <c r="LPS10" s="34"/>
      <c r="LPT10" s="34"/>
      <c r="LPU10" s="34"/>
      <c r="LPV10" s="34"/>
      <c r="LPW10" s="34"/>
      <c r="LPX10" s="34"/>
      <c r="LPY10" s="34"/>
      <c r="LPZ10" s="34"/>
      <c r="LQA10" s="34"/>
      <c r="LQB10" s="34"/>
      <c r="LQC10" s="34"/>
      <c r="LQD10" s="34"/>
      <c r="LQE10" s="34"/>
      <c r="LQF10" s="34"/>
      <c r="LQG10" s="34"/>
      <c r="LQH10" s="34"/>
      <c r="LQI10" s="34"/>
      <c r="LQJ10" s="34"/>
      <c r="LQK10" s="34"/>
      <c r="LQL10" s="34"/>
      <c r="LQM10" s="34"/>
      <c r="LQN10" s="34"/>
      <c r="LQO10" s="34"/>
      <c r="LQP10" s="34"/>
      <c r="LQQ10" s="34"/>
      <c r="LQR10" s="34"/>
      <c r="LQS10" s="34"/>
      <c r="LQT10" s="34"/>
      <c r="LQU10" s="34"/>
      <c r="LQV10" s="34"/>
      <c r="LQW10" s="34"/>
      <c r="LQX10" s="34"/>
      <c r="LQY10" s="34"/>
      <c r="LQZ10" s="34"/>
      <c r="LRA10" s="34"/>
      <c r="LRB10" s="34"/>
      <c r="LRC10" s="34"/>
      <c r="LRD10" s="34"/>
      <c r="LRE10" s="34"/>
      <c r="LRF10" s="34"/>
      <c r="LRG10" s="34"/>
      <c r="LRH10" s="34"/>
      <c r="LRI10" s="34"/>
      <c r="LRJ10" s="34"/>
      <c r="LRK10" s="34"/>
      <c r="LRL10" s="34"/>
      <c r="LRM10" s="34"/>
      <c r="LRN10" s="34"/>
      <c r="LRO10" s="34"/>
      <c r="LRP10" s="34"/>
      <c r="LRQ10" s="34"/>
      <c r="LRR10" s="34"/>
      <c r="LRS10" s="34"/>
      <c r="LRT10" s="34"/>
      <c r="LRU10" s="34"/>
      <c r="LRV10" s="34"/>
      <c r="LRW10" s="34"/>
      <c r="LRX10" s="34"/>
      <c r="LRY10" s="34"/>
      <c r="LRZ10" s="34"/>
      <c r="LSA10" s="34"/>
      <c r="LSB10" s="34"/>
      <c r="LSC10" s="34"/>
      <c r="LSD10" s="34"/>
      <c r="LSE10" s="34"/>
      <c r="LSF10" s="34"/>
      <c r="LSG10" s="34"/>
      <c r="LSH10" s="34"/>
      <c r="LSI10" s="34"/>
      <c r="LSJ10" s="34"/>
      <c r="LSK10" s="34"/>
      <c r="LSL10" s="34"/>
      <c r="LSM10" s="34"/>
      <c r="LSN10" s="34"/>
      <c r="LSO10" s="34"/>
      <c r="LSP10" s="34"/>
      <c r="LSQ10" s="34"/>
      <c r="LSR10" s="34"/>
      <c r="LSS10" s="34"/>
      <c r="LST10" s="34"/>
      <c r="LSU10" s="34"/>
      <c r="LSV10" s="34"/>
      <c r="LSW10" s="34"/>
      <c r="LSX10" s="34"/>
      <c r="LSY10" s="34"/>
      <c r="LSZ10" s="34"/>
      <c r="LTA10" s="34"/>
      <c r="LTB10" s="34"/>
      <c r="LTC10" s="34"/>
      <c r="LTD10" s="34"/>
      <c r="LTE10" s="34"/>
      <c r="LTF10" s="34"/>
      <c r="LTG10" s="34"/>
      <c r="LTH10" s="34"/>
      <c r="LTI10" s="34"/>
      <c r="LTJ10" s="34"/>
      <c r="LTK10" s="34"/>
      <c r="LTL10" s="34"/>
      <c r="LTM10" s="34"/>
      <c r="LTN10" s="34"/>
      <c r="LTO10" s="34"/>
      <c r="LTP10" s="34"/>
      <c r="LTQ10" s="34"/>
      <c r="LTR10" s="34"/>
      <c r="LTS10" s="34"/>
      <c r="LTT10" s="34"/>
      <c r="LTU10" s="34"/>
      <c r="LTV10" s="34"/>
      <c r="LTW10" s="34"/>
      <c r="LTX10" s="34"/>
      <c r="LTY10" s="34"/>
      <c r="LTZ10" s="34"/>
      <c r="LUA10" s="34"/>
      <c r="LUB10" s="34"/>
      <c r="LUC10" s="34"/>
      <c r="LUD10" s="34"/>
      <c r="LUE10" s="34"/>
      <c r="LUF10" s="34"/>
      <c r="LUG10" s="34"/>
      <c r="LUH10" s="34"/>
      <c r="LUI10" s="34"/>
      <c r="LUJ10" s="34"/>
      <c r="LUK10" s="34"/>
      <c r="LUL10" s="34"/>
      <c r="LUM10" s="34"/>
      <c r="LUN10" s="34"/>
      <c r="LUO10" s="34"/>
      <c r="LUP10" s="34"/>
      <c r="LUQ10" s="34"/>
      <c r="LUR10" s="34"/>
      <c r="LUS10" s="34"/>
      <c r="LUT10" s="34"/>
      <c r="LUU10" s="34"/>
      <c r="LUV10" s="34"/>
      <c r="LUW10" s="34"/>
      <c r="LUX10" s="34"/>
      <c r="LUY10" s="34"/>
      <c r="LUZ10" s="34"/>
      <c r="LVA10" s="34"/>
      <c r="LVB10" s="34"/>
      <c r="LVC10" s="34"/>
      <c r="LVD10" s="34"/>
      <c r="LVE10" s="34"/>
      <c r="LVF10" s="34"/>
      <c r="LVG10" s="34"/>
      <c r="LVH10" s="34"/>
      <c r="LVI10" s="34"/>
      <c r="LVJ10" s="34"/>
      <c r="LVK10" s="34"/>
      <c r="LVL10" s="34"/>
      <c r="LVM10" s="34"/>
      <c r="LVN10" s="34"/>
      <c r="LVO10" s="34"/>
      <c r="LVP10" s="34"/>
      <c r="LVQ10" s="34"/>
      <c r="LVR10" s="34"/>
      <c r="LVS10" s="34"/>
      <c r="LVT10" s="34"/>
      <c r="LVU10" s="34"/>
      <c r="LVV10" s="34"/>
      <c r="LVW10" s="34"/>
      <c r="LVX10" s="34"/>
      <c r="LVY10" s="34"/>
      <c r="LVZ10" s="34"/>
      <c r="LWA10" s="34"/>
      <c r="LWB10" s="34"/>
      <c r="LWC10" s="34"/>
      <c r="LWD10" s="34"/>
      <c r="LWE10" s="34"/>
      <c r="LWF10" s="34"/>
      <c r="LWG10" s="34"/>
      <c r="LWH10" s="34"/>
      <c r="LWI10" s="34"/>
      <c r="LWJ10" s="34"/>
      <c r="LWK10" s="34"/>
      <c r="LWL10" s="34"/>
      <c r="LWM10" s="34"/>
      <c r="LWN10" s="34"/>
      <c r="LWO10" s="34"/>
      <c r="LWP10" s="34"/>
      <c r="LWQ10" s="34"/>
      <c r="LWR10" s="34"/>
      <c r="LWS10" s="34"/>
      <c r="LWT10" s="34"/>
      <c r="LWU10" s="34"/>
      <c r="LWV10" s="34"/>
      <c r="LWW10" s="34"/>
      <c r="LWX10" s="34"/>
      <c r="LWY10" s="34"/>
      <c r="LWZ10" s="34"/>
      <c r="LXA10" s="34"/>
      <c r="LXB10" s="34"/>
      <c r="LXC10" s="34"/>
      <c r="LXD10" s="34"/>
      <c r="LXE10" s="34"/>
      <c r="LXF10" s="34"/>
      <c r="LXG10" s="34"/>
      <c r="LXH10" s="34"/>
      <c r="LXI10" s="34"/>
      <c r="LXJ10" s="34"/>
      <c r="LXK10" s="34"/>
      <c r="LXL10" s="34"/>
      <c r="LXM10" s="34"/>
      <c r="LXN10" s="34"/>
      <c r="LXO10" s="34"/>
      <c r="LXP10" s="34"/>
      <c r="LXQ10" s="34"/>
      <c r="LXR10" s="34"/>
      <c r="LXS10" s="34"/>
      <c r="LXT10" s="34"/>
      <c r="LXU10" s="34"/>
      <c r="LXV10" s="34"/>
      <c r="LXW10" s="34"/>
      <c r="LXX10" s="34"/>
      <c r="LXY10" s="34"/>
      <c r="LXZ10" s="34"/>
      <c r="LYA10" s="34"/>
      <c r="LYB10" s="34"/>
      <c r="LYC10" s="34"/>
      <c r="LYD10" s="34"/>
      <c r="LYE10" s="34"/>
      <c r="LYF10" s="34"/>
      <c r="LYG10" s="34"/>
      <c r="LYH10" s="34"/>
      <c r="LYI10" s="34"/>
      <c r="LYJ10" s="34"/>
      <c r="LYK10" s="34"/>
      <c r="LYL10" s="34"/>
      <c r="LYM10" s="34"/>
      <c r="LYN10" s="34"/>
      <c r="LYO10" s="34"/>
      <c r="LYP10" s="34"/>
      <c r="LYQ10" s="34"/>
      <c r="LYR10" s="34"/>
      <c r="LYS10" s="34"/>
      <c r="LYT10" s="34"/>
      <c r="LYU10" s="34"/>
      <c r="LYV10" s="34"/>
      <c r="LYW10" s="34"/>
      <c r="LYX10" s="34"/>
      <c r="LYY10" s="34"/>
      <c r="LYZ10" s="34"/>
      <c r="LZA10" s="34"/>
      <c r="LZB10" s="34"/>
      <c r="LZC10" s="34"/>
      <c r="LZD10" s="34"/>
      <c r="LZE10" s="34"/>
      <c r="LZF10" s="34"/>
      <c r="LZG10" s="34"/>
      <c r="LZH10" s="34"/>
      <c r="LZI10" s="34"/>
      <c r="LZJ10" s="34"/>
      <c r="LZK10" s="34"/>
      <c r="LZL10" s="34"/>
      <c r="LZM10" s="34"/>
      <c r="LZN10" s="34"/>
      <c r="LZO10" s="34"/>
      <c r="LZP10" s="34"/>
      <c r="LZQ10" s="34"/>
      <c r="LZR10" s="34"/>
      <c r="LZS10" s="34"/>
      <c r="LZT10" s="34"/>
      <c r="LZU10" s="34"/>
      <c r="LZV10" s="34"/>
      <c r="LZW10" s="34"/>
      <c r="LZX10" s="34"/>
      <c r="LZY10" s="34"/>
      <c r="LZZ10" s="34"/>
      <c r="MAA10" s="34"/>
      <c r="MAB10" s="34"/>
      <c r="MAC10" s="34"/>
      <c r="MAD10" s="34"/>
      <c r="MAE10" s="34"/>
      <c r="MAF10" s="34"/>
      <c r="MAG10" s="34"/>
      <c r="MAH10" s="34"/>
      <c r="MAI10" s="34"/>
      <c r="MAJ10" s="34"/>
      <c r="MAK10" s="34"/>
      <c r="MAL10" s="34"/>
      <c r="MAM10" s="34"/>
      <c r="MAN10" s="34"/>
      <c r="MAO10" s="34"/>
      <c r="MAP10" s="34"/>
      <c r="MAQ10" s="34"/>
      <c r="MAR10" s="34"/>
      <c r="MAS10" s="34"/>
      <c r="MAT10" s="34"/>
      <c r="MAU10" s="34"/>
      <c r="MAV10" s="34"/>
      <c r="MAW10" s="34"/>
      <c r="MAX10" s="34"/>
      <c r="MAY10" s="34"/>
      <c r="MAZ10" s="34"/>
      <c r="MBA10" s="34"/>
      <c r="MBB10" s="34"/>
      <c r="MBC10" s="34"/>
      <c r="MBD10" s="34"/>
      <c r="MBE10" s="34"/>
      <c r="MBF10" s="34"/>
      <c r="MBG10" s="34"/>
      <c r="MBH10" s="34"/>
      <c r="MBI10" s="34"/>
      <c r="MBJ10" s="34"/>
      <c r="MBK10" s="34"/>
      <c r="MBL10" s="34"/>
      <c r="MBM10" s="34"/>
      <c r="MBN10" s="34"/>
      <c r="MBO10" s="34"/>
      <c r="MBP10" s="34"/>
      <c r="MBQ10" s="34"/>
      <c r="MBR10" s="34"/>
      <c r="MBS10" s="34"/>
      <c r="MBT10" s="34"/>
      <c r="MBU10" s="34"/>
      <c r="MBV10" s="34"/>
      <c r="MBW10" s="34"/>
      <c r="MBX10" s="34"/>
      <c r="MBY10" s="34"/>
      <c r="MBZ10" s="34"/>
      <c r="MCA10" s="34"/>
      <c r="MCB10" s="34"/>
      <c r="MCC10" s="34"/>
      <c r="MCD10" s="34"/>
      <c r="MCE10" s="34"/>
      <c r="MCF10" s="34"/>
      <c r="MCG10" s="34"/>
      <c r="MCH10" s="34"/>
      <c r="MCI10" s="34"/>
      <c r="MCJ10" s="34"/>
      <c r="MCK10" s="34"/>
      <c r="MCL10" s="34"/>
      <c r="MCM10" s="34"/>
      <c r="MCN10" s="34"/>
      <c r="MCO10" s="34"/>
      <c r="MCP10" s="34"/>
      <c r="MCQ10" s="34"/>
      <c r="MCR10" s="34"/>
      <c r="MCS10" s="34"/>
      <c r="MCT10" s="34"/>
      <c r="MCU10" s="34"/>
      <c r="MCV10" s="34"/>
      <c r="MCW10" s="34"/>
      <c r="MCX10" s="34"/>
      <c r="MCY10" s="34"/>
      <c r="MCZ10" s="34"/>
      <c r="MDA10" s="34"/>
      <c r="MDB10" s="34"/>
      <c r="MDC10" s="34"/>
      <c r="MDD10" s="34"/>
      <c r="MDE10" s="34"/>
      <c r="MDF10" s="34"/>
      <c r="MDG10" s="34"/>
      <c r="MDH10" s="34"/>
      <c r="MDI10" s="34"/>
      <c r="MDJ10" s="34"/>
      <c r="MDK10" s="34"/>
      <c r="MDL10" s="34"/>
      <c r="MDM10" s="34"/>
      <c r="MDN10" s="34"/>
      <c r="MDO10" s="34"/>
      <c r="MDP10" s="34"/>
      <c r="MDQ10" s="34"/>
      <c r="MDR10" s="34"/>
      <c r="MDS10" s="34"/>
      <c r="MDT10" s="34"/>
      <c r="MDU10" s="34"/>
      <c r="MDV10" s="34"/>
      <c r="MDW10" s="34"/>
      <c r="MDX10" s="34"/>
      <c r="MDY10" s="34"/>
      <c r="MDZ10" s="34"/>
      <c r="MEA10" s="34"/>
      <c r="MEB10" s="34"/>
      <c r="MEC10" s="34"/>
      <c r="MED10" s="34"/>
      <c r="MEE10" s="34"/>
      <c r="MEF10" s="34"/>
      <c r="MEG10" s="34"/>
      <c r="MEH10" s="34"/>
      <c r="MEI10" s="34"/>
      <c r="MEJ10" s="34"/>
      <c r="MEK10" s="34"/>
      <c r="MEL10" s="34"/>
      <c r="MEM10" s="34"/>
      <c r="MEN10" s="34"/>
      <c r="MEO10" s="34"/>
      <c r="MEP10" s="34"/>
      <c r="MEQ10" s="34"/>
      <c r="MER10" s="34"/>
      <c r="MES10" s="34"/>
      <c r="MET10" s="34"/>
      <c r="MEU10" s="34"/>
      <c r="MEV10" s="34"/>
      <c r="MEW10" s="34"/>
      <c r="MEX10" s="34"/>
      <c r="MEY10" s="34"/>
      <c r="MEZ10" s="34"/>
      <c r="MFA10" s="34"/>
      <c r="MFB10" s="34"/>
      <c r="MFC10" s="34"/>
      <c r="MFD10" s="34"/>
      <c r="MFE10" s="34"/>
      <c r="MFF10" s="34"/>
      <c r="MFG10" s="34"/>
      <c r="MFH10" s="34"/>
      <c r="MFI10" s="34"/>
      <c r="MFJ10" s="34"/>
      <c r="MFK10" s="34"/>
      <c r="MFL10" s="34"/>
      <c r="MFM10" s="34"/>
      <c r="MFN10" s="34"/>
      <c r="MFO10" s="34"/>
      <c r="MFP10" s="34"/>
      <c r="MFQ10" s="34"/>
      <c r="MFR10" s="34"/>
      <c r="MFS10" s="34"/>
      <c r="MFT10" s="34"/>
      <c r="MFU10" s="34"/>
      <c r="MFV10" s="34"/>
      <c r="MFW10" s="34"/>
      <c r="MFX10" s="34"/>
      <c r="MFY10" s="34"/>
      <c r="MFZ10" s="34"/>
      <c r="MGA10" s="34"/>
      <c r="MGB10" s="34"/>
      <c r="MGC10" s="34"/>
      <c r="MGD10" s="34"/>
      <c r="MGE10" s="34"/>
      <c r="MGF10" s="34"/>
      <c r="MGG10" s="34"/>
      <c r="MGH10" s="34"/>
      <c r="MGI10" s="34"/>
      <c r="MGJ10" s="34"/>
      <c r="MGK10" s="34"/>
      <c r="MGL10" s="34"/>
      <c r="MGM10" s="34"/>
      <c r="MGN10" s="34"/>
      <c r="MGO10" s="34"/>
      <c r="MGP10" s="34"/>
      <c r="MGQ10" s="34"/>
      <c r="MGR10" s="34"/>
      <c r="MGS10" s="34"/>
      <c r="MGT10" s="34"/>
      <c r="MGU10" s="34"/>
      <c r="MGV10" s="34"/>
      <c r="MGW10" s="34"/>
      <c r="MGX10" s="34"/>
      <c r="MGY10" s="34"/>
      <c r="MGZ10" s="34"/>
      <c r="MHA10" s="34"/>
      <c r="MHB10" s="34"/>
      <c r="MHC10" s="34"/>
      <c r="MHD10" s="34"/>
      <c r="MHE10" s="34"/>
      <c r="MHF10" s="34"/>
      <c r="MHG10" s="34"/>
      <c r="MHH10" s="34"/>
      <c r="MHI10" s="34"/>
      <c r="MHJ10" s="34"/>
      <c r="MHK10" s="34"/>
      <c r="MHL10" s="34"/>
      <c r="MHM10" s="34"/>
      <c r="MHN10" s="34"/>
      <c r="MHO10" s="34"/>
      <c r="MHP10" s="34"/>
      <c r="MHQ10" s="34"/>
      <c r="MHR10" s="34"/>
      <c r="MHS10" s="34"/>
      <c r="MHT10" s="34"/>
      <c r="MHU10" s="34"/>
      <c r="MHV10" s="34"/>
      <c r="MHW10" s="34"/>
      <c r="MHX10" s="34"/>
      <c r="MHY10" s="34"/>
      <c r="MHZ10" s="34"/>
      <c r="MIA10" s="34"/>
      <c r="MIB10" s="34"/>
      <c r="MIC10" s="34"/>
      <c r="MID10" s="34"/>
      <c r="MIE10" s="34"/>
      <c r="MIF10" s="34"/>
      <c r="MIG10" s="34"/>
      <c r="MIH10" s="34"/>
      <c r="MII10" s="34"/>
      <c r="MIJ10" s="34"/>
      <c r="MIK10" s="34"/>
      <c r="MIL10" s="34"/>
      <c r="MIM10" s="34"/>
      <c r="MIN10" s="34"/>
      <c r="MIO10" s="34"/>
      <c r="MIP10" s="34"/>
      <c r="MIQ10" s="34"/>
      <c r="MIR10" s="34"/>
      <c r="MIS10" s="34"/>
      <c r="MIT10" s="34"/>
      <c r="MIU10" s="34"/>
      <c r="MIV10" s="34"/>
      <c r="MIW10" s="34"/>
      <c r="MIX10" s="34"/>
      <c r="MIY10" s="34"/>
      <c r="MIZ10" s="34"/>
      <c r="MJA10" s="34"/>
      <c r="MJB10" s="34"/>
      <c r="MJC10" s="34"/>
      <c r="MJD10" s="34"/>
      <c r="MJE10" s="34"/>
      <c r="MJF10" s="34"/>
      <c r="MJG10" s="34"/>
      <c r="MJH10" s="34"/>
      <c r="MJI10" s="34"/>
      <c r="MJJ10" s="34"/>
      <c r="MJK10" s="34"/>
      <c r="MJL10" s="34"/>
      <c r="MJM10" s="34"/>
      <c r="MJN10" s="34"/>
      <c r="MJO10" s="34"/>
      <c r="MJP10" s="34"/>
      <c r="MJQ10" s="34"/>
      <c r="MJR10" s="34"/>
      <c r="MJS10" s="34"/>
      <c r="MJT10" s="34"/>
      <c r="MJU10" s="34"/>
      <c r="MJV10" s="34"/>
      <c r="MJW10" s="34"/>
      <c r="MJX10" s="34"/>
      <c r="MJY10" s="34"/>
      <c r="MJZ10" s="34"/>
      <c r="MKA10" s="34"/>
      <c r="MKB10" s="34"/>
      <c r="MKC10" s="34"/>
      <c r="MKD10" s="34"/>
      <c r="MKE10" s="34"/>
      <c r="MKF10" s="34"/>
      <c r="MKG10" s="34"/>
      <c r="MKH10" s="34"/>
      <c r="MKI10" s="34"/>
      <c r="MKJ10" s="34"/>
      <c r="MKK10" s="34"/>
      <c r="MKL10" s="34"/>
      <c r="MKM10" s="34"/>
      <c r="MKN10" s="34"/>
      <c r="MKO10" s="34"/>
      <c r="MKP10" s="34"/>
      <c r="MKQ10" s="34"/>
      <c r="MKR10" s="34"/>
      <c r="MKS10" s="34"/>
      <c r="MKT10" s="34"/>
      <c r="MKU10" s="34"/>
      <c r="MKV10" s="34"/>
      <c r="MKW10" s="34"/>
      <c r="MKX10" s="34"/>
      <c r="MKY10" s="34"/>
      <c r="MKZ10" s="34"/>
      <c r="MLA10" s="34"/>
      <c r="MLB10" s="34"/>
      <c r="MLC10" s="34"/>
      <c r="MLD10" s="34"/>
      <c r="MLE10" s="34"/>
      <c r="MLF10" s="34"/>
      <c r="MLG10" s="34"/>
      <c r="MLH10" s="34"/>
      <c r="MLI10" s="34"/>
      <c r="MLJ10" s="34"/>
      <c r="MLK10" s="34"/>
      <c r="MLL10" s="34"/>
      <c r="MLM10" s="34"/>
      <c r="MLN10" s="34"/>
      <c r="MLO10" s="34"/>
      <c r="MLP10" s="34"/>
      <c r="MLQ10" s="34"/>
      <c r="MLR10" s="34"/>
      <c r="MLS10" s="34"/>
      <c r="MLT10" s="34"/>
      <c r="MLU10" s="34"/>
      <c r="MLV10" s="34"/>
      <c r="MLW10" s="34"/>
      <c r="MLX10" s="34"/>
      <c r="MLY10" s="34"/>
      <c r="MLZ10" s="34"/>
      <c r="MMA10" s="34"/>
      <c r="MMB10" s="34"/>
      <c r="MMC10" s="34"/>
      <c r="MMD10" s="34"/>
      <c r="MME10" s="34"/>
      <c r="MMF10" s="34"/>
      <c r="MMG10" s="34"/>
      <c r="MMH10" s="34"/>
      <c r="MMI10" s="34"/>
      <c r="MMJ10" s="34"/>
      <c r="MMK10" s="34"/>
      <c r="MML10" s="34"/>
      <c r="MMM10" s="34"/>
      <c r="MMN10" s="34"/>
      <c r="MMO10" s="34"/>
      <c r="MMP10" s="34"/>
      <c r="MMQ10" s="34"/>
      <c r="MMR10" s="34"/>
      <c r="MMS10" s="34"/>
      <c r="MMT10" s="34"/>
      <c r="MMU10" s="34"/>
      <c r="MMV10" s="34"/>
      <c r="MMW10" s="34"/>
      <c r="MMX10" s="34"/>
      <c r="MMY10" s="34"/>
      <c r="MMZ10" s="34"/>
      <c r="MNA10" s="34"/>
      <c r="MNB10" s="34"/>
      <c r="MNC10" s="34"/>
      <c r="MND10" s="34"/>
      <c r="MNE10" s="34"/>
      <c r="MNF10" s="34"/>
      <c r="MNG10" s="34"/>
      <c r="MNH10" s="34"/>
      <c r="MNI10" s="34"/>
      <c r="MNJ10" s="34"/>
      <c r="MNK10" s="34"/>
      <c r="MNL10" s="34"/>
      <c r="MNM10" s="34"/>
      <c r="MNN10" s="34"/>
      <c r="MNO10" s="34"/>
      <c r="MNP10" s="34"/>
      <c r="MNQ10" s="34"/>
      <c r="MNR10" s="34"/>
      <c r="MNS10" s="34"/>
      <c r="MNT10" s="34"/>
      <c r="MNU10" s="34"/>
      <c r="MNV10" s="34"/>
      <c r="MNW10" s="34"/>
      <c r="MNX10" s="34"/>
      <c r="MNY10" s="34"/>
      <c r="MNZ10" s="34"/>
      <c r="MOA10" s="34"/>
      <c r="MOB10" s="34"/>
      <c r="MOC10" s="34"/>
      <c r="MOD10" s="34"/>
      <c r="MOE10" s="34"/>
      <c r="MOF10" s="34"/>
      <c r="MOG10" s="34"/>
      <c r="MOH10" s="34"/>
      <c r="MOI10" s="34"/>
      <c r="MOJ10" s="34"/>
      <c r="MOK10" s="34"/>
      <c r="MOL10" s="34"/>
      <c r="MOM10" s="34"/>
      <c r="MON10" s="34"/>
      <c r="MOO10" s="34"/>
      <c r="MOP10" s="34"/>
      <c r="MOQ10" s="34"/>
      <c r="MOR10" s="34"/>
      <c r="MOS10" s="34"/>
      <c r="MOT10" s="34"/>
      <c r="MOU10" s="34"/>
      <c r="MOV10" s="34"/>
      <c r="MOW10" s="34"/>
      <c r="MOX10" s="34"/>
      <c r="MOY10" s="34"/>
      <c r="MOZ10" s="34"/>
      <c r="MPA10" s="34"/>
      <c r="MPB10" s="34"/>
      <c r="MPC10" s="34"/>
      <c r="MPD10" s="34"/>
      <c r="MPE10" s="34"/>
      <c r="MPF10" s="34"/>
      <c r="MPG10" s="34"/>
      <c r="MPH10" s="34"/>
      <c r="MPI10" s="34"/>
      <c r="MPJ10" s="34"/>
      <c r="MPK10" s="34"/>
      <c r="MPL10" s="34"/>
      <c r="MPM10" s="34"/>
      <c r="MPN10" s="34"/>
      <c r="MPO10" s="34"/>
      <c r="MPP10" s="34"/>
      <c r="MPQ10" s="34"/>
      <c r="MPR10" s="34"/>
      <c r="MPS10" s="34"/>
      <c r="MPT10" s="34"/>
      <c r="MPU10" s="34"/>
      <c r="MPV10" s="34"/>
      <c r="MPW10" s="34"/>
      <c r="MPX10" s="34"/>
      <c r="MPY10" s="34"/>
      <c r="MPZ10" s="34"/>
      <c r="MQA10" s="34"/>
      <c r="MQB10" s="34"/>
      <c r="MQC10" s="34"/>
      <c r="MQD10" s="34"/>
      <c r="MQE10" s="34"/>
      <c r="MQF10" s="34"/>
      <c r="MQG10" s="34"/>
      <c r="MQH10" s="34"/>
      <c r="MQI10" s="34"/>
      <c r="MQJ10" s="34"/>
      <c r="MQK10" s="34"/>
      <c r="MQL10" s="34"/>
      <c r="MQM10" s="34"/>
      <c r="MQN10" s="34"/>
      <c r="MQO10" s="34"/>
      <c r="MQP10" s="34"/>
      <c r="MQQ10" s="34"/>
      <c r="MQR10" s="34"/>
      <c r="MQS10" s="34"/>
      <c r="MQT10" s="34"/>
      <c r="MQU10" s="34"/>
      <c r="MQV10" s="34"/>
      <c r="MQW10" s="34"/>
      <c r="MQX10" s="34"/>
      <c r="MQY10" s="34"/>
      <c r="MQZ10" s="34"/>
      <c r="MRA10" s="34"/>
      <c r="MRB10" s="34"/>
      <c r="MRC10" s="34"/>
      <c r="MRD10" s="34"/>
      <c r="MRE10" s="34"/>
      <c r="MRF10" s="34"/>
      <c r="MRG10" s="34"/>
      <c r="MRH10" s="34"/>
      <c r="MRI10" s="34"/>
      <c r="MRJ10" s="34"/>
      <c r="MRK10" s="34"/>
      <c r="MRL10" s="34"/>
      <c r="MRM10" s="34"/>
      <c r="MRN10" s="34"/>
      <c r="MRO10" s="34"/>
      <c r="MRP10" s="34"/>
      <c r="MRQ10" s="34"/>
      <c r="MRR10" s="34"/>
      <c r="MRS10" s="34"/>
      <c r="MRT10" s="34"/>
      <c r="MRU10" s="34"/>
      <c r="MRV10" s="34"/>
      <c r="MRW10" s="34"/>
      <c r="MRX10" s="34"/>
      <c r="MRY10" s="34"/>
      <c r="MRZ10" s="34"/>
      <c r="MSA10" s="34"/>
      <c r="MSB10" s="34"/>
      <c r="MSC10" s="34"/>
      <c r="MSD10" s="34"/>
      <c r="MSE10" s="34"/>
      <c r="MSF10" s="34"/>
      <c r="MSG10" s="34"/>
      <c r="MSH10" s="34"/>
      <c r="MSI10" s="34"/>
      <c r="MSJ10" s="34"/>
      <c r="MSK10" s="34"/>
      <c r="MSL10" s="34"/>
      <c r="MSM10" s="34"/>
      <c r="MSN10" s="34"/>
      <c r="MSO10" s="34"/>
      <c r="MSP10" s="34"/>
      <c r="MSQ10" s="34"/>
      <c r="MSR10" s="34"/>
      <c r="MSS10" s="34"/>
      <c r="MST10" s="34"/>
      <c r="MSU10" s="34"/>
      <c r="MSV10" s="34"/>
      <c r="MSW10" s="34"/>
      <c r="MSX10" s="34"/>
      <c r="MSY10" s="34"/>
      <c r="MSZ10" s="34"/>
      <c r="MTA10" s="34"/>
      <c r="MTB10" s="34"/>
      <c r="MTC10" s="34"/>
      <c r="MTD10" s="34"/>
      <c r="MTE10" s="34"/>
      <c r="MTF10" s="34"/>
      <c r="MTG10" s="34"/>
      <c r="MTH10" s="34"/>
      <c r="MTI10" s="34"/>
      <c r="MTJ10" s="34"/>
      <c r="MTK10" s="34"/>
      <c r="MTL10" s="34"/>
      <c r="MTM10" s="34"/>
      <c r="MTN10" s="34"/>
      <c r="MTO10" s="34"/>
      <c r="MTP10" s="34"/>
      <c r="MTQ10" s="34"/>
      <c r="MTR10" s="34"/>
      <c r="MTS10" s="34"/>
      <c r="MTT10" s="34"/>
      <c r="MTU10" s="34"/>
      <c r="MTV10" s="34"/>
      <c r="MTW10" s="34"/>
      <c r="MTX10" s="34"/>
      <c r="MTY10" s="34"/>
      <c r="MTZ10" s="34"/>
      <c r="MUA10" s="34"/>
      <c r="MUB10" s="34"/>
      <c r="MUC10" s="34"/>
      <c r="MUD10" s="34"/>
      <c r="MUE10" s="34"/>
      <c r="MUF10" s="34"/>
      <c r="MUG10" s="34"/>
      <c r="MUH10" s="34"/>
      <c r="MUI10" s="34"/>
      <c r="MUJ10" s="34"/>
      <c r="MUK10" s="34"/>
      <c r="MUL10" s="34"/>
      <c r="MUM10" s="34"/>
      <c r="MUN10" s="34"/>
      <c r="MUO10" s="34"/>
      <c r="MUP10" s="34"/>
      <c r="MUQ10" s="34"/>
      <c r="MUR10" s="34"/>
      <c r="MUS10" s="34"/>
      <c r="MUT10" s="34"/>
      <c r="MUU10" s="34"/>
      <c r="MUV10" s="34"/>
      <c r="MUW10" s="34"/>
      <c r="MUX10" s="34"/>
      <c r="MUY10" s="34"/>
      <c r="MUZ10" s="34"/>
      <c r="MVA10" s="34"/>
      <c r="MVB10" s="34"/>
      <c r="MVC10" s="34"/>
      <c r="MVD10" s="34"/>
      <c r="MVE10" s="34"/>
      <c r="MVF10" s="34"/>
      <c r="MVG10" s="34"/>
      <c r="MVH10" s="34"/>
      <c r="MVI10" s="34"/>
      <c r="MVJ10" s="34"/>
      <c r="MVK10" s="34"/>
      <c r="MVL10" s="34"/>
      <c r="MVM10" s="34"/>
      <c r="MVN10" s="34"/>
      <c r="MVO10" s="34"/>
      <c r="MVP10" s="34"/>
      <c r="MVQ10" s="34"/>
      <c r="MVR10" s="34"/>
      <c r="MVS10" s="34"/>
      <c r="MVT10" s="34"/>
      <c r="MVU10" s="34"/>
      <c r="MVV10" s="34"/>
      <c r="MVW10" s="34"/>
      <c r="MVX10" s="34"/>
      <c r="MVY10" s="34"/>
      <c r="MVZ10" s="34"/>
      <c r="MWA10" s="34"/>
      <c r="MWB10" s="34"/>
      <c r="MWC10" s="34"/>
      <c r="MWD10" s="34"/>
      <c r="MWE10" s="34"/>
      <c r="MWF10" s="34"/>
      <c r="MWG10" s="34"/>
      <c r="MWH10" s="34"/>
      <c r="MWI10" s="34"/>
      <c r="MWJ10" s="34"/>
      <c r="MWK10" s="34"/>
      <c r="MWL10" s="34"/>
      <c r="MWM10" s="34"/>
      <c r="MWN10" s="34"/>
      <c r="MWO10" s="34"/>
      <c r="MWP10" s="34"/>
      <c r="MWQ10" s="34"/>
      <c r="MWR10" s="34"/>
      <c r="MWS10" s="34"/>
      <c r="MWT10" s="34"/>
      <c r="MWU10" s="34"/>
      <c r="MWV10" s="34"/>
      <c r="MWW10" s="34"/>
      <c r="MWX10" s="34"/>
      <c r="MWY10" s="34"/>
      <c r="MWZ10" s="34"/>
      <c r="MXA10" s="34"/>
      <c r="MXB10" s="34"/>
      <c r="MXC10" s="34"/>
      <c r="MXD10" s="34"/>
      <c r="MXE10" s="34"/>
      <c r="MXF10" s="34"/>
      <c r="MXG10" s="34"/>
      <c r="MXH10" s="34"/>
      <c r="MXI10" s="34"/>
      <c r="MXJ10" s="34"/>
      <c r="MXK10" s="34"/>
      <c r="MXL10" s="34"/>
      <c r="MXM10" s="34"/>
      <c r="MXN10" s="34"/>
      <c r="MXO10" s="34"/>
      <c r="MXP10" s="34"/>
      <c r="MXQ10" s="34"/>
      <c r="MXR10" s="34"/>
      <c r="MXS10" s="34"/>
      <c r="MXT10" s="34"/>
      <c r="MXU10" s="34"/>
      <c r="MXV10" s="34"/>
      <c r="MXW10" s="34"/>
      <c r="MXX10" s="34"/>
      <c r="MXY10" s="34"/>
      <c r="MXZ10" s="34"/>
      <c r="MYA10" s="34"/>
      <c r="MYB10" s="34"/>
      <c r="MYC10" s="34"/>
      <c r="MYD10" s="34"/>
      <c r="MYE10" s="34"/>
      <c r="MYF10" s="34"/>
      <c r="MYG10" s="34"/>
      <c r="MYH10" s="34"/>
      <c r="MYI10" s="34"/>
      <c r="MYJ10" s="34"/>
      <c r="MYK10" s="34"/>
      <c r="MYL10" s="34"/>
      <c r="MYM10" s="34"/>
      <c r="MYN10" s="34"/>
      <c r="MYO10" s="34"/>
      <c r="MYP10" s="34"/>
      <c r="MYQ10" s="34"/>
      <c r="MYR10" s="34"/>
      <c r="MYS10" s="34"/>
      <c r="MYT10" s="34"/>
      <c r="MYU10" s="34"/>
      <c r="MYV10" s="34"/>
      <c r="MYW10" s="34"/>
      <c r="MYX10" s="34"/>
      <c r="MYY10" s="34"/>
      <c r="MYZ10" s="34"/>
      <c r="MZA10" s="34"/>
      <c r="MZB10" s="34"/>
      <c r="MZC10" s="34"/>
      <c r="MZD10" s="34"/>
      <c r="MZE10" s="34"/>
      <c r="MZF10" s="34"/>
      <c r="MZG10" s="34"/>
      <c r="MZH10" s="34"/>
      <c r="MZI10" s="34"/>
      <c r="MZJ10" s="34"/>
      <c r="MZK10" s="34"/>
      <c r="MZL10" s="34"/>
      <c r="MZM10" s="34"/>
      <c r="MZN10" s="34"/>
      <c r="MZO10" s="34"/>
      <c r="MZP10" s="34"/>
      <c r="MZQ10" s="34"/>
      <c r="MZR10" s="34"/>
      <c r="MZS10" s="34"/>
      <c r="MZT10" s="34"/>
      <c r="MZU10" s="34"/>
      <c r="MZV10" s="34"/>
      <c r="MZW10" s="34"/>
      <c r="MZX10" s="34"/>
      <c r="MZY10" s="34"/>
      <c r="MZZ10" s="34"/>
      <c r="NAA10" s="34"/>
      <c r="NAB10" s="34"/>
      <c r="NAC10" s="34"/>
      <c r="NAD10" s="34"/>
      <c r="NAE10" s="34"/>
      <c r="NAF10" s="34"/>
      <c r="NAG10" s="34"/>
      <c r="NAH10" s="34"/>
      <c r="NAI10" s="34"/>
      <c r="NAJ10" s="34"/>
      <c r="NAK10" s="34"/>
      <c r="NAL10" s="34"/>
      <c r="NAM10" s="34"/>
      <c r="NAN10" s="34"/>
      <c r="NAO10" s="34"/>
      <c r="NAP10" s="34"/>
      <c r="NAQ10" s="34"/>
      <c r="NAR10" s="34"/>
      <c r="NAS10" s="34"/>
      <c r="NAT10" s="34"/>
      <c r="NAU10" s="34"/>
      <c r="NAV10" s="34"/>
      <c r="NAW10" s="34"/>
      <c r="NAX10" s="34"/>
      <c r="NAY10" s="34"/>
      <c r="NAZ10" s="34"/>
      <c r="NBA10" s="34"/>
      <c r="NBB10" s="34"/>
      <c r="NBC10" s="34"/>
      <c r="NBD10" s="34"/>
      <c r="NBE10" s="34"/>
      <c r="NBF10" s="34"/>
      <c r="NBG10" s="34"/>
      <c r="NBH10" s="34"/>
      <c r="NBI10" s="34"/>
      <c r="NBJ10" s="34"/>
      <c r="NBK10" s="34"/>
      <c r="NBL10" s="34"/>
      <c r="NBM10" s="34"/>
      <c r="NBN10" s="34"/>
      <c r="NBO10" s="34"/>
      <c r="NBP10" s="34"/>
      <c r="NBQ10" s="34"/>
      <c r="NBR10" s="34"/>
      <c r="NBS10" s="34"/>
      <c r="NBT10" s="34"/>
      <c r="NBU10" s="34"/>
      <c r="NBV10" s="34"/>
      <c r="NBW10" s="34"/>
      <c r="NBX10" s="34"/>
      <c r="NBY10" s="34"/>
      <c r="NBZ10" s="34"/>
      <c r="NCA10" s="34"/>
      <c r="NCB10" s="34"/>
      <c r="NCC10" s="34"/>
      <c r="NCD10" s="34"/>
      <c r="NCE10" s="34"/>
      <c r="NCF10" s="34"/>
      <c r="NCG10" s="34"/>
      <c r="NCH10" s="34"/>
      <c r="NCI10" s="34"/>
      <c r="NCJ10" s="34"/>
      <c r="NCK10" s="34"/>
      <c r="NCL10" s="34"/>
      <c r="NCM10" s="34"/>
      <c r="NCN10" s="34"/>
      <c r="NCO10" s="34"/>
      <c r="NCP10" s="34"/>
      <c r="NCQ10" s="34"/>
      <c r="NCR10" s="34"/>
      <c r="NCS10" s="34"/>
      <c r="NCT10" s="34"/>
      <c r="NCU10" s="34"/>
      <c r="NCV10" s="34"/>
      <c r="NCW10" s="34"/>
      <c r="NCX10" s="34"/>
      <c r="NCY10" s="34"/>
      <c r="NCZ10" s="34"/>
      <c r="NDA10" s="34"/>
      <c r="NDB10" s="34"/>
      <c r="NDC10" s="34"/>
      <c r="NDD10" s="34"/>
      <c r="NDE10" s="34"/>
      <c r="NDF10" s="34"/>
      <c r="NDG10" s="34"/>
      <c r="NDH10" s="34"/>
      <c r="NDI10" s="34"/>
      <c r="NDJ10" s="34"/>
      <c r="NDK10" s="34"/>
      <c r="NDL10" s="34"/>
      <c r="NDM10" s="34"/>
      <c r="NDN10" s="34"/>
      <c r="NDO10" s="34"/>
      <c r="NDP10" s="34"/>
      <c r="NDQ10" s="34"/>
      <c r="NDR10" s="34"/>
      <c r="NDS10" s="34"/>
      <c r="NDT10" s="34"/>
      <c r="NDU10" s="34"/>
      <c r="NDV10" s="34"/>
      <c r="NDW10" s="34"/>
      <c r="NDX10" s="34"/>
      <c r="NDY10" s="34"/>
      <c r="NDZ10" s="34"/>
      <c r="NEA10" s="34"/>
      <c r="NEB10" s="34"/>
      <c r="NEC10" s="34"/>
      <c r="NED10" s="34"/>
      <c r="NEE10" s="34"/>
      <c r="NEF10" s="34"/>
      <c r="NEG10" s="34"/>
      <c r="NEH10" s="34"/>
      <c r="NEI10" s="34"/>
      <c r="NEJ10" s="34"/>
      <c r="NEK10" s="34"/>
      <c r="NEL10" s="34"/>
      <c r="NEM10" s="34"/>
      <c r="NEN10" s="34"/>
      <c r="NEO10" s="34"/>
      <c r="NEP10" s="34"/>
      <c r="NEQ10" s="34"/>
      <c r="NER10" s="34"/>
      <c r="NES10" s="34"/>
      <c r="NET10" s="34"/>
      <c r="NEU10" s="34"/>
      <c r="NEV10" s="34"/>
      <c r="NEW10" s="34"/>
      <c r="NEX10" s="34"/>
      <c r="NEY10" s="34"/>
      <c r="NEZ10" s="34"/>
      <c r="NFA10" s="34"/>
      <c r="NFB10" s="34"/>
      <c r="NFC10" s="34"/>
      <c r="NFD10" s="34"/>
      <c r="NFE10" s="34"/>
      <c r="NFF10" s="34"/>
      <c r="NFG10" s="34"/>
      <c r="NFH10" s="34"/>
      <c r="NFI10" s="34"/>
      <c r="NFJ10" s="34"/>
      <c r="NFK10" s="34"/>
      <c r="NFL10" s="34"/>
      <c r="NFM10" s="34"/>
      <c r="NFN10" s="34"/>
      <c r="NFO10" s="34"/>
      <c r="NFP10" s="34"/>
      <c r="NFQ10" s="34"/>
      <c r="NFR10" s="34"/>
      <c r="NFS10" s="34"/>
      <c r="NFT10" s="34"/>
      <c r="NFU10" s="34"/>
      <c r="NFV10" s="34"/>
      <c r="NFW10" s="34"/>
      <c r="NFX10" s="34"/>
      <c r="NFY10" s="34"/>
      <c r="NFZ10" s="34"/>
      <c r="NGA10" s="34"/>
      <c r="NGB10" s="34"/>
      <c r="NGC10" s="34"/>
      <c r="NGD10" s="34"/>
      <c r="NGE10" s="34"/>
      <c r="NGF10" s="34"/>
      <c r="NGG10" s="34"/>
      <c r="NGH10" s="34"/>
      <c r="NGI10" s="34"/>
      <c r="NGJ10" s="34"/>
      <c r="NGK10" s="34"/>
      <c r="NGL10" s="34"/>
      <c r="NGM10" s="34"/>
      <c r="NGN10" s="34"/>
      <c r="NGO10" s="34"/>
      <c r="NGP10" s="34"/>
      <c r="NGQ10" s="34"/>
      <c r="NGR10" s="34"/>
      <c r="NGS10" s="34"/>
      <c r="NGT10" s="34"/>
      <c r="NGU10" s="34"/>
      <c r="NGV10" s="34"/>
      <c r="NGW10" s="34"/>
      <c r="NGX10" s="34"/>
      <c r="NGY10" s="34"/>
      <c r="NGZ10" s="34"/>
      <c r="NHA10" s="34"/>
      <c r="NHB10" s="34"/>
      <c r="NHC10" s="34"/>
      <c r="NHD10" s="34"/>
      <c r="NHE10" s="34"/>
      <c r="NHF10" s="34"/>
      <c r="NHG10" s="34"/>
      <c r="NHH10" s="34"/>
      <c r="NHI10" s="34"/>
      <c r="NHJ10" s="34"/>
      <c r="NHK10" s="34"/>
      <c r="NHL10" s="34"/>
      <c r="NHM10" s="34"/>
      <c r="NHN10" s="34"/>
      <c r="NHO10" s="34"/>
      <c r="NHP10" s="34"/>
      <c r="NHQ10" s="34"/>
      <c r="NHR10" s="34"/>
      <c r="NHS10" s="34"/>
      <c r="NHT10" s="34"/>
      <c r="NHU10" s="34"/>
      <c r="NHV10" s="34"/>
      <c r="NHW10" s="34"/>
      <c r="NHX10" s="34"/>
      <c r="NHY10" s="34"/>
      <c r="NHZ10" s="34"/>
      <c r="NIA10" s="34"/>
      <c r="NIB10" s="34"/>
      <c r="NIC10" s="34"/>
      <c r="NID10" s="34"/>
      <c r="NIE10" s="34"/>
      <c r="NIF10" s="34"/>
      <c r="NIG10" s="34"/>
      <c r="NIH10" s="34"/>
      <c r="NII10" s="34"/>
      <c r="NIJ10" s="34"/>
      <c r="NIK10" s="34"/>
      <c r="NIL10" s="34"/>
      <c r="NIM10" s="34"/>
      <c r="NIN10" s="34"/>
      <c r="NIO10" s="34"/>
      <c r="NIP10" s="34"/>
      <c r="NIQ10" s="34"/>
      <c r="NIR10" s="34"/>
      <c r="NIS10" s="34"/>
      <c r="NIT10" s="34"/>
      <c r="NIU10" s="34"/>
      <c r="NIV10" s="34"/>
      <c r="NIW10" s="34"/>
      <c r="NIX10" s="34"/>
      <c r="NIY10" s="34"/>
      <c r="NIZ10" s="34"/>
      <c r="NJA10" s="34"/>
      <c r="NJB10" s="34"/>
      <c r="NJC10" s="34"/>
      <c r="NJD10" s="34"/>
      <c r="NJE10" s="34"/>
      <c r="NJF10" s="34"/>
      <c r="NJG10" s="34"/>
      <c r="NJH10" s="34"/>
      <c r="NJI10" s="34"/>
      <c r="NJJ10" s="34"/>
      <c r="NJK10" s="34"/>
      <c r="NJL10" s="34"/>
      <c r="NJM10" s="34"/>
      <c r="NJN10" s="34"/>
      <c r="NJO10" s="34"/>
      <c r="NJP10" s="34"/>
      <c r="NJQ10" s="34"/>
      <c r="NJR10" s="34"/>
      <c r="NJS10" s="34"/>
      <c r="NJT10" s="34"/>
      <c r="NJU10" s="34"/>
      <c r="NJV10" s="34"/>
      <c r="NJW10" s="34"/>
      <c r="NJX10" s="34"/>
      <c r="NJY10" s="34"/>
      <c r="NJZ10" s="34"/>
      <c r="NKA10" s="34"/>
      <c r="NKB10" s="34"/>
      <c r="NKC10" s="34"/>
      <c r="NKD10" s="34"/>
      <c r="NKE10" s="34"/>
      <c r="NKF10" s="34"/>
      <c r="NKG10" s="34"/>
      <c r="NKH10" s="34"/>
      <c r="NKI10" s="34"/>
      <c r="NKJ10" s="34"/>
      <c r="NKK10" s="34"/>
      <c r="NKL10" s="34"/>
      <c r="NKM10" s="34"/>
      <c r="NKN10" s="34"/>
      <c r="NKO10" s="34"/>
      <c r="NKP10" s="34"/>
      <c r="NKQ10" s="34"/>
      <c r="NKR10" s="34"/>
      <c r="NKS10" s="34"/>
      <c r="NKT10" s="34"/>
      <c r="NKU10" s="34"/>
      <c r="NKV10" s="34"/>
      <c r="NKW10" s="34"/>
      <c r="NKX10" s="34"/>
      <c r="NKY10" s="34"/>
      <c r="NKZ10" s="34"/>
      <c r="NLA10" s="34"/>
      <c r="NLB10" s="34"/>
      <c r="NLC10" s="34"/>
      <c r="NLD10" s="34"/>
      <c r="NLE10" s="34"/>
      <c r="NLF10" s="34"/>
      <c r="NLG10" s="34"/>
      <c r="NLH10" s="34"/>
      <c r="NLI10" s="34"/>
      <c r="NLJ10" s="34"/>
      <c r="NLK10" s="34"/>
      <c r="NLL10" s="34"/>
      <c r="NLM10" s="34"/>
      <c r="NLN10" s="34"/>
      <c r="NLO10" s="34"/>
      <c r="NLP10" s="34"/>
      <c r="NLQ10" s="34"/>
      <c r="NLR10" s="34"/>
      <c r="NLS10" s="34"/>
      <c r="NLT10" s="34"/>
      <c r="NLU10" s="34"/>
      <c r="NLV10" s="34"/>
      <c r="NLW10" s="34"/>
      <c r="NLX10" s="34"/>
      <c r="NLY10" s="34"/>
      <c r="NLZ10" s="34"/>
      <c r="NMA10" s="34"/>
      <c r="NMB10" s="34"/>
      <c r="NMC10" s="34"/>
      <c r="NMD10" s="34"/>
      <c r="NME10" s="34"/>
      <c r="NMF10" s="34"/>
      <c r="NMG10" s="34"/>
      <c r="NMH10" s="34"/>
      <c r="NMI10" s="34"/>
      <c r="NMJ10" s="34"/>
      <c r="NMK10" s="34"/>
      <c r="NML10" s="34"/>
      <c r="NMM10" s="34"/>
      <c r="NMN10" s="34"/>
      <c r="NMO10" s="34"/>
      <c r="NMP10" s="34"/>
      <c r="NMQ10" s="34"/>
      <c r="NMR10" s="34"/>
      <c r="NMS10" s="34"/>
      <c r="NMT10" s="34"/>
      <c r="NMU10" s="34"/>
      <c r="NMV10" s="34"/>
      <c r="NMW10" s="34"/>
      <c r="NMX10" s="34"/>
      <c r="NMY10" s="34"/>
      <c r="NMZ10" s="34"/>
      <c r="NNA10" s="34"/>
      <c r="NNB10" s="34"/>
      <c r="NNC10" s="34"/>
      <c r="NND10" s="34"/>
      <c r="NNE10" s="34"/>
      <c r="NNF10" s="34"/>
      <c r="NNG10" s="34"/>
      <c r="NNH10" s="34"/>
      <c r="NNI10" s="34"/>
      <c r="NNJ10" s="34"/>
      <c r="NNK10" s="34"/>
      <c r="NNL10" s="34"/>
      <c r="NNM10" s="34"/>
      <c r="NNN10" s="34"/>
      <c r="NNO10" s="34"/>
      <c r="NNP10" s="34"/>
      <c r="NNQ10" s="34"/>
      <c r="NNR10" s="34"/>
      <c r="NNS10" s="34"/>
      <c r="NNT10" s="34"/>
      <c r="NNU10" s="34"/>
      <c r="NNV10" s="34"/>
      <c r="NNW10" s="34"/>
      <c r="NNX10" s="34"/>
      <c r="NNY10" s="34"/>
      <c r="NNZ10" s="34"/>
      <c r="NOA10" s="34"/>
      <c r="NOB10" s="34"/>
      <c r="NOC10" s="34"/>
      <c r="NOD10" s="34"/>
      <c r="NOE10" s="34"/>
      <c r="NOF10" s="34"/>
      <c r="NOG10" s="34"/>
      <c r="NOH10" s="34"/>
      <c r="NOI10" s="34"/>
      <c r="NOJ10" s="34"/>
      <c r="NOK10" s="34"/>
      <c r="NOL10" s="34"/>
      <c r="NOM10" s="34"/>
      <c r="NON10" s="34"/>
      <c r="NOO10" s="34"/>
      <c r="NOP10" s="34"/>
      <c r="NOQ10" s="34"/>
      <c r="NOR10" s="34"/>
      <c r="NOS10" s="34"/>
      <c r="NOT10" s="34"/>
      <c r="NOU10" s="34"/>
      <c r="NOV10" s="34"/>
      <c r="NOW10" s="34"/>
      <c r="NOX10" s="34"/>
      <c r="NOY10" s="34"/>
      <c r="NOZ10" s="34"/>
      <c r="NPA10" s="34"/>
      <c r="NPB10" s="34"/>
      <c r="NPC10" s="34"/>
      <c r="NPD10" s="34"/>
      <c r="NPE10" s="34"/>
      <c r="NPF10" s="34"/>
      <c r="NPG10" s="34"/>
      <c r="NPH10" s="34"/>
      <c r="NPI10" s="34"/>
      <c r="NPJ10" s="34"/>
      <c r="NPK10" s="34"/>
      <c r="NPL10" s="34"/>
      <c r="NPM10" s="34"/>
      <c r="NPN10" s="34"/>
      <c r="NPO10" s="34"/>
      <c r="NPP10" s="34"/>
      <c r="NPQ10" s="34"/>
      <c r="NPR10" s="34"/>
      <c r="NPS10" s="34"/>
      <c r="NPT10" s="34"/>
      <c r="NPU10" s="34"/>
      <c r="NPV10" s="34"/>
      <c r="NPW10" s="34"/>
      <c r="NPX10" s="34"/>
      <c r="NPY10" s="34"/>
      <c r="NPZ10" s="34"/>
      <c r="NQA10" s="34"/>
      <c r="NQB10" s="34"/>
      <c r="NQC10" s="34"/>
      <c r="NQD10" s="34"/>
      <c r="NQE10" s="34"/>
      <c r="NQF10" s="34"/>
      <c r="NQG10" s="34"/>
      <c r="NQH10" s="34"/>
      <c r="NQI10" s="34"/>
      <c r="NQJ10" s="34"/>
      <c r="NQK10" s="34"/>
      <c r="NQL10" s="34"/>
      <c r="NQM10" s="34"/>
      <c r="NQN10" s="34"/>
      <c r="NQO10" s="34"/>
      <c r="NQP10" s="34"/>
      <c r="NQQ10" s="34"/>
      <c r="NQR10" s="34"/>
      <c r="NQS10" s="34"/>
      <c r="NQT10" s="34"/>
      <c r="NQU10" s="34"/>
      <c r="NQV10" s="34"/>
      <c r="NQW10" s="34"/>
      <c r="NQX10" s="34"/>
      <c r="NQY10" s="34"/>
      <c r="NQZ10" s="34"/>
      <c r="NRA10" s="34"/>
      <c r="NRB10" s="34"/>
      <c r="NRC10" s="34"/>
      <c r="NRD10" s="34"/>
      <c r="NRE10" s="34"/>
      <c r="NRF10" s="34"/>
      <c r="NRG10" s="34"/>
      <c r="NRH10" s="34"/>
      <c r="NRI10" s="34"/>
      <c r="NRJ10" s="34"/>
      <c r="NRK10" s="34"/>
      <c r="NRL10" s="34"/>
      <c r="NRM10" s="34"/>
      <c r="NRN10" s="34"/>
      <c r="NRO10" s="34"/>
      <c r="NRP10" s="34"/>
      <c r="NRQ10" s="34"/>
      <c r="NRR10" s="34"/>
      <c r="NRS10" s="34"/>
      <c r="NRT10" s="34"/>
      <c r="NRU10" s="34"/>
      <c r="NRV10" s="34"/>
      <c r="NRW10" s="34"/>
      <c r="NRX10" s="34"/>
      <c r="NRY10" s="34"/>
      <c r="NRZ10" s="34"/>
      <c r="NSA10" s="34"/>
      <c r="NSB10" s="34"/>
      <c r="NSC10" s="34"/>
      <c r="NSD10" s="34"/>
      <c r="NSE10" s="34"/>
      <c r="NSF10" s="34"/>
      <c r="NSG10" s="34"/>
      <c r="NSH10" s="34"/>
      <c r="NSI10" s="34"/>
      <c r="NSJ10" s="34"/>
      <c r="NSK10" s="34"/>
      <c r="NSL10" s="34"/>
      <c r="NSM10" s="34"/>
      <c r="NSN10" s="34"/>
      <c r="NSO10" s="34"/>
      <c r="NSP10" s="34"/>
      <c r="NSQ10" s="34"/>
      <c r="NSR10" s="34"/>
      <c r="NSS10" s="34"/>
      <c r="NST10" s="34"/>
      <c r="NSU10" s="34"/>
      <c r="NSV10" s="34"/>
      <c r="NSW10" s="34"/>
      <c r="NSX10" s="34"/>
      <c r="NSY10" s="34"/>
      <c r="NSZ10" s="34"/>
      <c r="NTA10" s="34"/>
      <c r="NTB10" s="34"/>
      <c r="NTC10" s="34"/>
      <c r="NTD10" s="34"/>
      <c r="NTE10" s="34"/>
      <c r="NTF10" s="34"/>
      <c r="NTG10" s="34"/>
      <c r="NTH10" s="34"/>
      <c r="NTI10" s="34"/>
      <c r="NTJ10" s="34"/>
      <c r="NTK10" s="34"/>
      <c r="NTL10" s="34"/>
      <c r="NTM10" s="34"/>
      <c r="NTN10" s="34"/>
      <c r="NTO10" s="34"/>
      <c r="NTP10" s="34"/>
      <c r="NTQ10" s="34"/>
      <c r="NTR10" s="34"/>
      <c r="NTS10" s="34"/>
      <c r="NTT10" s="34"/>
      <c r="NTU10" s="34"/>
      <c r="NTV10" s="34"/>
      <c r="NTW10" s="34"/>
      <c r="NTX10" s="34"/>
      <c r="NTY10" s="34"/>
      <c r="NTZ10" s="34"/>
      <c r="NUA10" s="34"/>
      <c r="NUB10" s="34"/>
      <c r="NUC10" s="34"/>
      <c r="NUD10" s="34"/>
      <c r="NUE10" s="34"/>
      <c r="NUF10" s="34"/>
      <c r="NUG10" s="34"/>
      <c r="NUH10" s="34"/>
      <c r="NUI10" s="34"/>
      <c r="NUJ10" s="34"/>
      <c r="NUK10" s="34"/>
      <c r="NUL10" s="34"/>
      <c r="NUM10" s="34"/>
      <c r="NUN10" s="34"/>
      <c r="NUO10" s="34"/>
      <c r="NUP10" s="34"/>
      <c r="NUQ10" s="34"/>
      <c r="NUR10" s="34"/>
      <c r="NUS10" s="34"/>
      <c r="NUT10" s="34"/>
      <c r="NUU10" s="34"/>
      <c r="NUV10" s="34"/>
      <c r="NUW10" s="34"/>
      <c r="NUX10" s="34"/>
      <c r="NUY10" s="34"/>
      <c r="NUZ10" s="34"/>
      <c r="NVA10" s="34"/>
      <c r="NVB10" s="34"/>
      <c r="NVC10" s="34"/>
      <c r="NVD10" s="34"/>
      <c r="NVE10" s="34"/>
      <c r="NVF10" s="34"/>
      <c r="NVG10" s="34"/>
      <c r="NVH10" s="34"/>
      <c r="NVI10" s="34"/>
      <c r="NVJ10" s="34"/>
      <c r="NVK10" s="34"/>
      <c r="NVL10" s="34"/>
      <c r="NVM10" s="34"/>
      <c r="NVN10" s="34"/>
      <c r="NVO10" s="34"/>
      <c r="NVP10" s="34"/>
      <c r="NVQ10" s="34"/>
      <c r="NVR10" s="34"/>
      <c r="NVS10" s="34"/>
      <c r="NVT10" s="34"/>
      <c r="NVU10" s="34"/>
      <c r="NVV10" s="34"/>
      <c r="NVW10" s="34"/>
      <c r="NVX10" s="34"/>
      <c r="NVY10" s="34"/>
      <c r="NVZ10" s="34"/>
      <c r="NWA10" s="34"/>
      <c r="NWB10" s="34"/>
      <c r="NWC10" s="34"/>
      <c r="NWD10" s="34"/>
      <c r="NWE10" s="34"/>
      <c r="NWF10" s="34"/>
      <c r="NWG10" s="34"/>
      <c r="NWH10" s="34"/>
      <c r="NWI10" s="34"/>
      <c r="NWJ10" s="34"/>
      <c r="NWK10" s="34"/>
      <c r="NWL10" s="34"/>
      <c r="NWM10" s="34"/>
      <c r="NWN10" s="34"/>
      <c r="NWO10" s="34"/>
      <c r="NWP10" s="34"/>
      <c r="NWQ10" s="34"/>
      <c r="NWR10" s="34"/>
      <c r="NWS10" s="34"/>
      <c r="NWT10" s="34"/>
      <c r="NWU10" s="34"/>
      <c r="NWV10" s="34"/>
      <c r="NWW10" s="34"/>
      <c r="NWX10" s="34"/>
      <c r="NWY10" s="34"/>
      <c r="NWZ10" s="34"/>
      <c r="NXA10" s="34"/>
      <c r="NXB10" s="34"/>
      <c r="NXC10" s="34"/>
      <c r="NXD10" s="34"/>
      <c r="NXE10" s="34"/>
      <c r="NXF10" s="34"/>
      <c r="NXG10" s="34"/>
      <c r="NXH10" s="34"/>
      <c r="NXI10" s="34"/>
      <c r="NXJ10" s="34"/>
      <c r="NXK10" s="34"/>
      <c r="NXL10" s="34"/>
      <c r="NXM10" s="34"/>
      <c r="NXN10" s="34"/>
      <c r="NXO10" s="34"/>
      <c r="NXP10" s="34"/>
      <c r="NXQ10" s="34"/>
      <c r="NXR10" s="34"/>
      <c r="NXS10" s="34"/>
      <c r="NXT10" s="34"/>
      <c r="NXU10" s="34"/>
      <c r="NXV10" s="34"/>
      <c r="NXW10" s="34"/>
      <c r="NXX10" s="34"/>
      <c r="NXY10" s="34"/>
      <c r="NXZ10" s="34"/>
      <c r="NYA10" s="34"/>
      <c r="NYB10" s="34"/>
      <c r="NYC10" s="34"/>
      <c r="NYD10" s="34"/>
      <c r="NYE10" s="34"/>
      <c r="NYF10" s="34"/>
      <c r="NYG10" s="34"/>
      <c r="NYH10" s="34"/>
      <c r="NYI10" s="34"/>
      <c r="NYJ10" s="34"/>
      <c r="NYK10" s="34"/>
      <c r="NYL10" s="34"/>
      <c r="NYM10" s="34"/>
      <c r="NYN10" s="34"/>
      <c r="NYO10" s="34"/>
      <c r="NYP10" s="34"/>
      <c r="NYQ10" s="34"/>
      <c r="NYR10" s="34"/>
      <c r="NYS10" s="34"/>
      <c r="NYT10" s="34"/>
      <c r="NYU10" s="34"/>
      <c r="NYV10" s="34"/>
      <c r="NYW10" s="34"/>
      <c r="NYX10" s="34"/>
      <c r="NYY10" s="34"/>
      <c r="NYZ10" s="34"/>
      <c r="NZA10" s="34"/>
      <c r="NZB10" s="34"/>
      <c r="NZC10" s="34"/>
      <c r="NZD10" s="34"/>
      <c r="NZE10" s="34"/>
      <c r="NZF10" s="34"/>
      <c r="NZG10" s="34"/>
      <c r="NZH10" s="34"/>
      <c r="NZI10" s="34"/>
      <c r="NZJ10" s="34"/>
      <c r="NZK10" s="34"/>
      <c r="NZL10" s="34"/>
      <c r="NZM10" s="34"/>
      <c r="NZN10" s="34"/>
      <c r="NZO10" s="34"/>
      <c r="NZP10" s="34"/>
      <c r="NZQ10" s="34"/>
      <c r="NZR10" s="34"/>
      <c r="NZS10" s="34"/>
      <c r="NZT10" s="34"/>
      <c r="NZU10" s="34"/>
      <c r="NZV10" s="34"/>
      <c r="NZW10" s="34"/>
      <c r="NZX10" s="34"/>
      <c r="NZY10" s="34"/>
      <c r="NZZ10" s="34"/>
      <c r="OAA10" s="34"/>
      <c r="OAB10" s="34"/>
      <c r="OAC10" s="34"/>
      <c r="OAD10" s="34"/>
      <c r="OAE10" s="34"/>
      <c r="OAF10" s="34"/>
      <c r="OAG10" s="34"/>
      <c r="OAH10" s="34"/>
      <c r="OAI10" s="34"/>
      <c r="OAJ10" s="34"/>
      <c r="OAK10" s="34"/>
      <c r="OAL10" s="34"/>
      <c r="OAM10" s="34"/>
      <c r="OAN10" s="34"/>
      <c r="OAO10" s="34"/>
      <c r="OAP10" s="34"/>
      <c r="OAQ10" s="34"/>
      <c r="OAR10" s="34"/>
      <c r="OAS10" s="34"/>
      <c r="OAT10" s="34"/>
      <c r="OAU10" s="34"/>
      <c r="OAV10" s="34"/>
      <c r="OAW10" s="34"/>
      <c r="OAX10" s="34"/>
      <c r="OAY10" s="34"/>
      <c r="OAZ10" s="34"/>
      <c r="OBA10" s="34"/>
      <c r="OBB10" s="34"/>
      <c r="OBC10" s="34"/>
      <c r="OBD10" s="34"/>
      <c r="OBE10" s="34"/>
      <c r="OBF10" s="34"/>
      <c r="OBG10" s="34"/>
      <c r="OBH10" s="34"/>
      <c r="OBI10" s="34"/>
      <c r="OBJ10" s="34"/>
      <c r="OBK10" s="34"/>
      <c r="OBL10" s="34"/>
      <c r="OBM10" s="34"/>
      <c r="OBN10" s="34"/>
      <c r="OBO10" s="34"/>
      <c r="OBP10" s="34"/>
      <c r="OBQ10" s="34"/>
      <c r="OBR10" s="34"/>
      <c r="OBS10" s="34"/>
      <c r="OBT10" s="34"/>
      <c r="OBU10" s="34"/>
      <c r="OBV10" s="34"/>
      <c r="OBW10" s="34"/>
      <c r="OBX10" s="34"/>
      <c r="OBY10" s="34"/>
      <c r="OBZ10" s="34"/>
      <c r="OCA10" s="34"/>
      <c r="OCB10" s="34"/>
      <c r="OCC10" s="34"/>
      <c r="OCD10" s="34"/>
      <c r="OCE10" s="34"/>
      <c r="OCF10" s="34"/>
      <c r="OCG10" s="34"/>
      <c r="OCH10" s="34"/>
      <c r="OCI10" s="34"/>
      <c r="OCJ10" s="34"/>
      <c r="OCK10" s="34"/>
      <c r="OCL10" s="34"/>
      <c r="OCM10" s="34"/>
      <c r="OCN10" s="34"/>
      <c r="OCO10" s="34"/>
      <c r="OCP10" s="34"/>
      <c r="OCQ10" s="34"/>
      <c r="OCR10" s="34"/>
      <c r="OCS10" s="34"/>
      <c r="OCT10" s="34"/>
      <c r="OCU10" s="34"/>
      <c r="OCV10" s="34"/>
      <c r="OCW10" s="34"/>
      <c r="OCX10" s="34"/>
      <c r="OCY10" s="34"/>
      <c r="OCZ10" s="34"/>
      <c r="ODA10" s="34"/>
      <c r="ODB10" s="34"/>
      <c r="ODC10" s="34"/>
      <c r="ODD10" s="34"/>
      <c r="ODE10" s="34"/>
      <c r="ODF10" s="34"/>
      <c r="ODG10" s="34"/>
      <c r="ODH10" s="34"/>
      <c r="ODI10" s="34"/>
      <c r="ODJ10" s="34"/>
      <c r="ODK10" s="34"/>
      <c r="ODL10" s="34"/>
      <c r="ODM10" s="34"/>
      <c r="ODN10" s="34"/>
      <c r="ODO10" s="34"/>
      <c r="ODP10" s="34"/>
      <c r="ODQ10" s="34"/>
      <c r="ODR10" s="34"/>
      <c r="ODS10" s="34"/>
      <c r="ODT10" s="34"/>
      <c r="ODU10" s="34"/>
      <c r="ODV10" s="34"/>
      <c r="ODW10" s="34"/>
      <c r="ODX10" s="34"/>
      <c r="ODY10" s="34"/>
      <c r="ODZ10" s="34"/>
      <c r="OEA10" s="34"/>
      <c r="OEB10" s="34"/>
      <c r="OEC10" s="34"/>
      <c r="OED10" s="34"/>
      <c r="OEE10" s="34"/>
      <c r="OEF10" s="34"/>
      <c r="OEG10" s="34"/>
      <c r="OEH10" s="34"/>
      <c r="OEI10" s="34"/>
      <c r="OEJ10" s="34"/>
      <c r="OEK10" s="34"/>
      <c r="OEL10" s="34"/>
      <c r="OEM10" s="34"/>
      <c r="OEN10" s="34"/>
      <c r="OEO10" s="34"/>
      <c r="OEP10" s="34"/>
      <c r="OEQ10" s="34"/>
      <c r="OER10" s="34"/>
      <c r="OES10" s="34"/>
      <c r="OET10" s="34"/>
      <c r="OEU10" s="34"/>
      <c r="OEV10" s="34"/>
      <c r="OEW10" s="34"/>
      <c r="OEX10" s="34"/>
      <c r="OEY10" s="34"/>
      <c r="OEZ10" s="34"/>
      <c r="OFA10" s="34"/>
      <c r="OFB10" s="34"/>
      <c r="OFC10" s="34"/>
      <c r="OFD10" s="34"/>
      <c r="OFE10" s="34"/>
      <c r="OFF10" s="34"/>
      <c r="OFG10" s="34"/>
      <c r="OFH10" s="34"/>
      <c r="OFI10" s="34"/>
      <c r="OFJ10" s="34"/>
      <c r="OFK10" s="34"/>
      <c r="OFL10" s="34"/>
      <c r="OFM10" s="34"/>
      <c r="OFN10" s="34"/>
      <c r="OFO10" s="34"/>
      <c r="OFP10" s="34"/>
      <c r="OFQ10" s="34"/>
      <c r="OFR10" s="34"/>
      <c r="OFS10" s="34"/>
      <c r="OFT10" s="34"/>
      <c r="OFU10" s="34"/>
      <c r="OFV10" s="34"/>
      <c r="OFW10" s="34"/>
      <c r="OFX10" s="34"/>
      <c r="OFY10" s="34"/>
      <c r="OFZ10" s="34"/>
      <c r="OGA10" s="34"/>
      <c r="OGB10" s="34"/>
      <c r="OGC10" s="34"/>
      <c r="OGD10" s="34"/>
      <c r="OGE10" s="34"/>
      <c r="OGF10" s="34"/>
      <c r="OGG10" s="34"/>
      <c r="OGH10" s="34"/>
      <c r="OGI10" s="34"/>
      <c r="OGJ10" s="34"/>
      <c r="OGK10" s="34"/>
      <c r="OGL10" s="34"/>
      <c r="OGM10" s="34"/>
      <c r="OGN10" s="34"/>
      <c r="OGO10" s="34"/>
      <c r="OGP10" s="34"/>
      <c r="OGQ10" s="34"/>
      <c r="OGR10" s="34"/>
      <c r="OGS10" s="34"/>
      <c r="OGT10" s="34"/>
      <c r="OGU10" s="34"/>
      <c r="OGV10" s="34"/>
      <c r="OGW10" s="34"/>
      <c r="OGX10" s="34"/>
      <c r="OGY10" s="34"/>
      <c r="OGZ10" s="34"/>
      <c r="OHA10" s="34"/>
      <c r="OHB10" s="34"/>
      <c r="OHC10" s="34"/>
      <c r="OHD10" s="34"/>
      <c r="OHE10" s="34"/>
      <c r="OHF10" s="34"/>
      <c r="OHG10" s="34"/>
      <c r="OHH10" s="34"/>
      <c r="OHI10" s="34"/>
      <c r="OHJ10" s="34"/>
      <c r="OHK10" s="34"/>
      <c r="OHL10" s="34"/>
      <c r="OHM10" s="34"/>
      <c r="OHN10" s="34"/>
      <c r="OHO10" s="34"/>
      <c r="OHP10" s="34"/>
      <c r="OHQ10" s="34"/>
      <c r="OHR10" s="34"/>
      <c r="OHS10" s="34"/>
      <c r="OHT10" s="34"/>
      <c r="OHU10" s="34"/>
      <c r="OHV10" s="34"/>
      <c r="OHW10" s="34"/>
      <c r="OHX10" s="34"/>
      <c r="OHY10" s="34"/>
      <c r="OHZ10" s="34"/>
      <c r="OIA10" s="34"/>
      <c r="OIB10" s="34"/>
      <c r="OIC10" s="34"/>
      <c r="OID10" s="34"/>
      <c r="OIE10" s="34"/>
      <c r="OIF10" s="34"/>
      <c r="OIG10" s="34"/>
      <c r="OIH10" s="34"/>
      <c r="OII10" s="34"/>
      <c r="OIJ10" s="34"/>
      <c r="OIK10" s="34"/>
      <c r="OIL10" s="34"/>
      <c r="OIM10" s="34"/>
      <c r="OIN10" s="34"/>
      <c r="OIO10" s="34"/>
      <c r="OIP10" s="34"/>
      <c r="OIQ10" s="34"/>
      <c r="OIR10" s="34"/>
      <c r="OIS10" s="34"/>
      <c r="OIT10" s="34"/>
      <c r="OIU10" s="34"/>
      <c r="OIV10" s="34"/>
      <c r="OIW10" s="34"/>
      <c r="OIX10" s="34"/>
      <c r="OIY10" s="34"/>
      <c r="OIZ10" s="34"/>
      <c r="OJA10" s="34"/>
      <c r="OJB10" s="34"/>
      <c r="OJC10" s="34"/>
      <c r="OJD10" s="34"/>
      <c r="OJE10" s="34"/>
      <c r="OJF10" s="34"/>
      <c r="OJG10" s="34"/>
      <c r="OJH10" s="34"/>
      <c r="OJI10" s="34"/>
      <c r="OJJ10" s="34"/>
      <c r="OJK10" s="34"/>
      <c r="OJL10" s="34"/>
      <c r="OJM10" s="34"/>
      <c r="OJN10" s="34"/>
      <c r="OJO10" s="34"/>
      <c r="OJP10" s="34"/>
      <c r="OJQ10" s="34"/>
      <c r="OJR10" s="34"/>
      <c r="OJS10" s="34"/>
      <c r="OJT10" s="34"/>
      <c r="OJU10" s="34"/>
      <c r="OJV10" s="34"/>
      <c r="OJW10" s="34"/>
      <c r="OJX10" s="34"/>
      <c r="OJY10" s="34"/>
      <c r="OJZ10" s="34"/>
      <c r="OKA10" s="34"/>
      <c r="OKB10" s="34"/>
      <c r="OKC10" s="34"/>
      <c r="OKD10" s="34"/>
      <c r="OKE10" s="34"/>
      <c r="OKF10" s="34"/>
      <c r="OKG10" s="34"/>
      <c r="OKH10" s="34"/>
      <c r="OKI10" s="34"/>
      <c r="OKJ10" s="34"/>
      <c r="OKK10" s="34"/>
      <c r="OKL10" s="34"/>
      <c r="OKM10" s="34"/>
      <c r="OKN10" s="34"/>
      <c r="OKO10" s="34"/>
      <c r="OKP10" s="34"/>
      <c r="OKQ10" s="34"/>
      <c r="OKR10" s="34"/>
      <c r="OKS10" s="34"/>
      <c r="OKT10" s="34"/>
      <c r="OKU10" s="34"/>
      <c r="OKV10" s="34"/>
      <c r="OKW10" s="34"/>
      <c r="OKX10" s="34"/>
      <c r="OKY10" s="34"/>
      <c r="OKZ10" s="34"/>
      <c r="OLA10" s="34"/>
      <c r="OLB10" s="34"/>
      <c r="OLC10" s="34"/>
      <c r="OLD10" s="34"/>
      <c r="OLE10" s="34"/>
      <c r="OLF10" s="34"/>
      <c r="OLG10" s="34"/>
      <c r="OLH10" s="34"/>
      <c r="OLI10" s="34"/>
      <c r="OLJ10" s="34"/>
      <c r="OLK10" s="34"/>
      <c r="OLL10" s="34"/>
      <c r="OLM10" s="34"/>
      <c r="OLN10" s="34"/>
      <c r="OLO10" s="34"/>
      <c r="OLP10" s="34"/>
      <c r="OLQ10" s="34"/>
      <c r="OLR10" s="34"/>
      <c r="OLS10" s="34"/>
      <c r="OLT10" s="34"/>
      <c r="OLU10" s="34"/>
      <c r="OLV10" s="34"/>
      <c r="OLW10" s="34"/>
      <c r="OLX10" s="34"/>
      <c r="OLY10" s="34"/>
      <c r="OLZ10" s="34"/>
      <c r="OMA10" s="34"/>
      <c r="OMB10" s="34"/>
      <c r="OMC10" s="34"/>
      <c r="OMD10" s="34"/>
      <c r="OME10" s="34"/>
      <c r="OMF10" s="34"/>
      <c r="OMG10" s="34"/>
      <c r="OMH10" s="34"/>
      <c r="OMI10" s="34"/>
      <c r="OMJ10" s="34"/>
      <c r="OMK10" s="34"/>
      <c r="OML10" s="34"/>
      <c r="OMM10" s="34"/>
      <c r="OMN10" s="34"/>
      <c r="OMO10" s="34"/>
      <c r="OMP10" s="34"/>
      <c r="OMQ10" s="34"/>
      <c r="OMR10" s="34"/>
      <c r="OMS10" s="34"/>
      <c r="OMT10" s="34"/>
      <c r="OMU10" s="34"/>
      <c r="OMV10" s="34"/>
      <c r="OMW10" s="34"/>
      <c r="OMX10" s="34"/>
      <c r="OMY10" s="34"/>
      <c r="OMZ10" s="34"/>
      <c r="ONA10" s="34"/>
      <c r="ONB10" s="34"/>
      <c r="ONC10" s="34"/>
      <c r="OND10" s="34"/>
      <c r="ONE10" s="34"/>
      <c r="ONF10" s="34"/>
      <c r="ONG10" s="34"/>
      <c r="ONH10" s="34"/>
      <c r="ONI10" s="34"/>
      <c r="ONJ10" s="34"/>
      <c r="ONK10" s="34"/>
      <c r="ONL10" s="34"/>
      <c r="ONM10" s="34"/>
      <c r="ONN10" s="34"/>
      <c r="ONO10" s="34"/>
      <c r="ONP10" s="34"/>
      <c r="ONQ10" s="34"/>
      <c r="ONR10" s="34"/>
      <c r="ONS10" s="34"/>
      <c r="ONT10" s="34"/>
      <c r="ONU10" s="34"/>
      <c r="ONV10" s="34"/>
      <c r="ONW10" s="34"/>
      <c r="ONX10" s="34"/>
      <c r="ONY10" s="34"/>
      <c r="ONZ10" s="34"/>
      <c r="OOA10" s="34"/>
      <c r="OOB10" s="34"/>
      <c r="OOC10" s="34"/>
      <c r="OOD10" s="34"/>
      <c r="OOE10" s="34"/>
      <c r="OOF10" s="34"/>
      <c r="OOG10" s="34"/>
      <c r="OOH10" s="34"/>
      <c r="OOI10" s="34"/>
      <c r="OOJ10" s="34"/>
      <c r="OOK10" s="34"/>
      <c r="OOL10" s="34"/>
      <c r="OOM10" s="34"/>
      <c r="OON10" s="34"/>
      <c r="OOO10" s="34"/>
      <c r="OOP10" s="34"/>
      <c r="OOQ10" s="34"/>
      <c r="OOR10" s="34"/>
      <c r="OOS10" s="34"/>
      <c r="OOT10" s="34"/>
      <c r="OOU10" s="34"/>
      <c r="OOV10" s="34"/>
      <c r="OOW10" s="34"/>
      <c r="OOX10" s="34"/>
      <c r="OOY10" s="34"/>
      <c r="OOZ10" s="34"/>
      <c r="OPA10" s="34"/>
      <c r="OPB10" s="34"/>
      <c r="OPC10" s="34"/>
      <c r="OPD10" s="34"/>
      <c r="OPE10" s="34"/>
      <c r="OPF10" s="34"/>
      <c r="OPG10" s="34"/>
      <c r="OPH10" s="34"/>
      <c r="OPI10" s="34"/>
      <c r="OPJ10" s="34"/>
      <c r="OPK10" s="34"/>
      <c r="OPL10" s="34"/>
      <c r="OPM10" s="34"/>
      <c r="OPN10" s="34"/>
      <c r="OPO10" s="34"/>
      <c r="OPP10" s="34"/>
      <c r="OPQ10" s="34"/>
      <c r="OPR10" s="34"/>
      <c r="OPS10" s="34"/>
      <c r="OPT10" s="34"/>
      <c r="OPU10" s="34"/>
      <c r="OPV10" s="34"/>
      <c r="OPW10" s="34"/>
      <c r="OPX10" s="34"/>
      <c r="OPY10" s="34"/>
      <c r="OPZ10" s="34"/>
      <c r="OQA10" s="34"/>
      <c r="OQB10" s="34"/>
      <c r="OQC10" s="34"/>
      <c r="OQD10" s="34"/>
      <c r="OQE10" s="34"/>
      <c r="OQF10" s="34"/>
      <c r="OQG10" s="34"/>
      <c r="OQH10" s="34"/>
      <c r="OQI10" s="34"/>
      <c r="OQJ10" s="34"/>
      <c r="OQK10" s="34"/>
      <c r="OQL10" s="34"/>
      <c r="OQM10" s="34"/>
      <c r="OQN10" s="34"/>
      <c r="OQO10" s="34"/>
      <c r="OQP10" s="34"/>
      <c r="OQQ10" s="34"/>
      <c r="OQR10" s="34"/>
      <c r="OQS10" s="34"/>
      <c r="OQT10" s="34"/>
      <c r="OQU10" s="34"/>
      <c r="OQV10" s="34"/>
      <c r="OQW10" s="34"/>
      <c r="OQX10" s="34"/>
      <c r="OQY10" s="34"/>
      <c r="OQZ10" s="34"/>
      <c r="ORA10" s="34"/>
      <c r="ORB10" s="34"/>
      <c r="ORC10" s="34"/>
      <c r="ORD10" s="34"/>
      <c r="ORE10" s="34"/>
      <c r="ORF10" s="34"/>
      <c r="ORG10" s="34"/>
      <c r="ORH10" s="34"/>
      <c r="ORI10" s="34"/>
      <c r="ORJ10" s="34"/>
      <c r="ORK10" s="34"/>
      <c r="ORL10" s="34"/>
      <c r="ORM10" s="34"/>
      <c r="ORN10" s="34"/>
      <c r="ORO10" s="34"/>
      <c r="ORP10" s="34"/>
      <c r="ORQ10" s="34"/>
      <c r="ORR10" s="34"/>
      <c r="ORS10" s="34"/>
      <c r="ORT10" s="34"/>
      <c r="ORU10" s="34"/>
      <c r="ORV10" s="34"/>
      <c r="ORW10" s="34"/>
      <c r="ORX10" s="34"/>
      <c r="ORY10" s="34"/>
      <c r="ORZ10" s="34"/>
      <c r="OSA10" s="34"/>
      <c r="OSB10" s="34"/>
      <c r="OSC10" s="34"/>
      <c r="OSD10" s="34"/>
      <c r="OSE10" s="34"/>
      <c r="OSF10" s="34"/>
      <c r="OSG10" s="34"/>
      <c r="OSH10" s="34"/>
      <c r="OSI10" s="34"/>
      <c r="OSJ10" s="34"/>
      <c r="OSK10" s="34"/>
      <c r="OSL10" s="34"/>
      <c r="OSM10" s="34"/>
      <c r="OSN10" s="34"/>
      <c r="OSO10" s="34"/>
      <c r="OSP10" s="34"/>
      <c r="OSQ10" s="34"/>
      <c r="OSR10" s="34"/>
      <c r="OSS10" s="34"/>
      <c r="OST10" s="34"/>
      <c r="OSU10" s="34"/>
      <c r="OSV10" s="34"/>
      <c r="OSW10" s="34"/>
      <c r="OSX10" s="34"/>
      <c r="OSY10" s="34"/>
      <c r="OSZ10" s="34"/>
      <c r="OTA10" s="34"/>
      <c r="OTB10" s="34"/>
      <c r="OTC10" s="34"/>
      <c r="OTD10" s="34"/>
      <c r="OTE10" s="34"/>
      <c r="OTF10" s="34"/>
      <c r="OTG10" s="34"/>
      <c r="OTH10" s="34"/>
      <c r="OTI10" s="34"/>
      <c r="OTJ10" s="34"/>
      <c r="OTK10" s="34"/>
      <c r="OTL10" s="34"/>
      <c r="OTM10" s="34"/>
      <c r="OTN10" s="34"/>
      <c r="OTO10" s="34"/>
      <c r="OTP10" s="34"/>
      <c r="OTQ10" s="34"/>
      <c r="OTR10" s="34"/>
      <c r="OTS10" s="34"/>
      <c r="OTT10" s="34"/>
      <c r="OTU10" s="34"/>
      <c r="OTV10" s="34"/>
      <c r="OTW10" s="34"/>
      <c r="OTX10" s="34"/>
      <c r="OTY10" s="34"/>
      <c r="OTZ10" s="34"/>
      <c r="OUA10" s="34"/>
      <c r="OUB10" s="34"/>
      <c r="OUC10" s="34"/>
      <c r="OUD10" s="34"/>
      <c r="OUE10" s="34"/>
      <c r="OUF10" s="34"/>
      <c r="OUG10" s="34"/>
      <c r="OUH10" s="34"/>
      <c r="OUI10" s="34"/>
      <c r="OUJ10" s="34"/>
      <c r="OUK10" s="34"/>
      <c r="OUL10" s="34"/>
      <c r="OUM10" s="34"/>
      <c r="OUN10" s="34"/>
      <c r="OUO10" s="34"/>
      <c r="OUP10" s="34"/>
      <c r="OUQ10" s="34"/>
      <c r="OUR10" s="34"/>
      <c r="OUS10" s="34"/>
      <c r="OUT10" s="34"/>
      <c r="OUU10" s="34"/>
      <c r="OUV10" s="34"/>
      <c r="OUW10" s="34"/>
      <c r="OUX10" s="34"/>
      <c r="OUY10" s="34"/>
      <c r="OUZ10" s="34"/>
      <c r="OVA10" s="34"/>
      <c r="OVB10" s="34"/>
      <c r="OVC10" s="34"/>
      <c r="OVD10" s="34"/>
      <c r="OVE10" s="34"/>
      <c r="OVF10" s="34"/>
      <c r="OVG10" s="34"/>
      <c r="OVH10" s="34"/>
      <c r="OVI10" s="34"/>
      <c r="OVJ10" s="34"/>
      <c r="OVK10" s="34"/>
      <c r="OVL10" s="34"/>
      <c r="OVM10" s="34"/>
      <c r="OVN10" s="34"/>
      <c r="OVO10" s="34"/>
      <c r="OVP10" s="34"/>
      <c r="OVQ10" s="34"/>
      <c r="OVR10" s="34"/>
      <c r="OVS10" s="34"/>
      <c r="OVT10" s="34"/>
      <c r="OVU10" s="34"/>
      <c r="OVV10" s="34"/>
      <c r="OVW10" s="34"/>
      <c r="OVX10" s="34"/>
      <c r="OVY10" s="34"/>
      <c r="OVZ10" s="34"/>
      <c r="OWA10" s="34"/>
      <c r="OWB10" s="34"/>
      <c r="OWC10" s="34"/>
      <c r="OWD10" s="34"/>
      <c r="OWE10" s="34"/>
      <c r="OWF10" s="34"/>
      <c r="OWG10" s="34"/>
      <c r="OWH10" s="34"/>
      <c r="OWI10" s="34"/>
      <c r="OWJ10" s="34"/>
      <c r="OWK10" s="34"/>
      <c r="OWL10" s="34"/>
      <c r="OWM10" s="34"/>
      <c r="OWN10" s="34"/>
      <c r="OWO10" s="34"/>
      <c r="OWP10" s="34"/>
      <c r="OWQ10" s="34"/>
      <c r="OWR10" s="34"/>
      <c r="OWS10" s="34"/>
      <c r="OWT10" s="34"/>
      <c r="OWU10" s="34"/>
      <c r="OWV10" s="34"/>
      <c r="OWW10" s="34"/>
      <c r="OWX10" s="34"/>
      <c r="OWY10" s="34"/>
      <c r="OWZ10" s="34"/>
      <c r="OXA10" s="34"/>
      <c r="OXB10" s="34"/>
      <c r="OXC10" s="34"/>
      <c r="OXD10" s="34"/>
      <c r="OXE10" s="34"/>
      <c r="OXF10" s="34"/>
      <c r="OXG10" s="34"/>
      <c r="OXH10" s="34"/>
      <c r="OXI10" s="34"/>
      <c r="OXJ10" s="34"/>
      <c r="OXK10" s="34"/>
      <c r="OXL10" s="34"/>
      <c r="OXM10" s="34"/>
      <c r="OXN10" s="34"/>
      <c r="OXO10" s="34"/>
      <c r="OXP10" s="34"/>
      <c r="OXQ10" s="34"/>
      <c r="OXR10" s="34"/>
      <c r="OXS10" s="34"/>
      <c r="OXT10" s="34"/>
      <c r="OXU10" s="34"/>
      <c r="OXV10" s="34"/>
      <c r="OXW10" s="34"/>
      <c r="OXX10" s="34"/>
      <c r="OXY10" s="34"/>
      <c r="OXZ10" s="34"/>
      <c r="OYA10" s="34"/>
      <c r="OYB10" s="34"/>
      <c r="OYC10" s="34"/>
      <c r="OYD10" s="34"/>
      <c r="OYE10" s="34"/>
      <c r="OYF10" s="34"/>
      <c r="OYG10" s="34"/>
      <c r="OYH10" s="34"/>
      <c r="OYI10" s="34"/>
      <c r="OYJ10" s="34"/>
      <c r="OYK10" s="34"/>
      <c r="OYL10" s="34"/>
      <c r="OYM10" s="34"/>
      <c r="OYN10" s="34"/>
      <c r="OYO10" s="34"/>
      <c r="OYP10" s="34"/>
      <c r="OYQ10" s="34"/>
      <c r="OYR10" s="34"/>
      <c r="OYS10" s="34"/>
      <c r="OYT10" s="34"/>
      <c r="OYU10" s="34"/>
      <c r="OYV10" s="34"/>
      <c r="OYW10" s="34"/>
      <c r="OYX10" s="34"/>
      <c r="OYY10" s="34"/>
      <c r="OYZ10" s="34"/>
      <c r="OZA10" s="34"/>
      <c r="OZB10" s="34"/>
      <c r="OZC10" s="34"/>
      <c r="OZD10" s="34"/>
      <c r="OZE10" s="34"/>
      <c r="OZF10" s="34"/>
      <c r="OZG10" s="34"/>
      <c r="OZH10" s="34"/>
      <c r="OZI10" s="34"/>
      <c r="OZJ10" s="34"/>
      <c r="OZK10" s="34"/>
      <c r="OZL10" s="34"/>
      <c r="OZM10" s="34"/>
      <c r="OZN10" s="34"/>
      <c r="OZO10" s="34"/>
      <c r="OZP10" s="34"/>
      <c r="OZQ10" s="34"/>
      <c r="OZR10" s="34"/>
      <c r="OZS10" s="34"/>
      <c r="OZT10" s="34"/>
      <c r="OZU10" s="34"/>
      <c r="OZV10" s="34"/>
      <c r="OZW10" s="34"/>
      <c r="OZX10" s="34"/>
      <c r="OZY10" s="34"/>
      <c r="OZZ10" s="34"/>
      <c r="PAA10" s="34"/>
      <c r="PAB10" s="34"/>
      <c r="PAC10" s="34"/>
      <c r="PAD10" s="34"/>
      <c r="PAE10" s="34"/>
      <c r="PAF10" s="34"/>
      <c r="PAG10" s="34"/>
      <c r="PAH10" s="34"/>
      <c r="PAI10" s="34"/>
      <c r="PAJ10" s="34"/>
      <c r="PAK10" s="34"/>
      <c r="PAL10" s="34"/>
      <c r="PAM10" s="34"/>
      <c r="PAN10" s="34"/>
      <c r="PAO10" s="34"/>
      <c r="PAP10" s="34"/>
      <c r="PAQ10" s="34"/>
      <c r="PAR10" s="34"/>
      <c r="PAS10" s="34"/>
      <c r="PAT10" s="34"/>
      <c r="PAU10" s="34"/>
      <c r="PAV10" s="34"/>
      <c r="PAW10" s="34"/>
      <c r="PAX10" s="34"/>
      <c r="PAY10" s="34"/>
      <c r="PAZ10" s="34"/>
      <c r="PBA10" s="34"/>
      <c r="PBB10" s="34"/>
      <c r="PBC10" s="34"/>
      <c r="PBD10" s="34"/>
      <c r="PBE10" s="34"/>
      <c r="PBF10" s="34"/>
      <c r="PBG10" s="34"/>
      <c r="PBH10" s="34"/>
      <c r="PBI10" s="34"/>
      <c r="PBJ10" s="34"/>
      <c r="PBK10" s="34"/>
      <c r="PBL10" s="34"/>
      <c r="PBM10" s="34"/>
      <c r="PBN10" s="34"/>
      <c r="PBO10" s="34"/>
      <c r="PBP10" s="34"/>
      <c r="PBQ10" s="34"/>
      <c r="PBR10" s="34"/>
      <c r="PBS10" s="34"/>
      <c r="PBT10" s="34"/>
      <c r="PBU10" s="34"/>
      <c r="PBV10" s="34"/>
      <c r="PBW10" s="34"/>
      <c r="PBX10" s="34"/>
      <c r="PBY10" s="34"/>
      <c r="PBZ10" s="34"/>
      <c r="PCA10" s="34"/>
      <c r="PCB10" s="34"/>
      <c r="PCC10" s="34"/>
      <c r="PCD10" s="34"/>
      <c r="PCE10" s="34"/>
      <c r="PCF10" s="34"/>
      <c r="PCG10" s="34"/>
      <c r="PCH10" s="34"/>
      <c r="PCI10" s="34"/>
      <c r="PCJ10" s="34"/>
      <c r="PCK10" s="34"/>
      <c r="PCL10" s="34"/>
      <c r="PCM10" s="34"/>
      <c r="PCN10" s="34"/>
      <c r="PCO10" s="34"/>
      <c r="PCP10" s="34"/>
      <c r="PCQ10" s="34"/>
      <c r="PCR10" s="34"/>
      <c r="PCS10" s="34"/>
      <c r="PCT10" s="34"/>
      <c r="PCU10" s="34"/>
      <c r="PCV10" s="34"/>
      <c r="PCW10" s="34"/>
      <c r="PCX10" s="34"/>
      <c r="PCY10" s="34"/>
      <c r="PCZ10" s="34"/>
      <c r="PDA10" s="34"/>
      <c r="PDB10" s="34"/>
      <c r="PDC10" s="34"/>
      <c r="PDD10" s="34"/>
      <c r="PDE10" s="34"/>
      <c r="PDF10" s="34"/>
      <c r="PDG10" s="34"/>
      <c r="PDH10" s="34"/>
      <c r="PDI10" s="34"/>
      <c r="PDJ10" s="34"/>
      <c r="PDK10" s="34"/>
      <c r="PDL10" s="34"/>
      <c r="PDM10" s="34"/>
      <c r="PDN10" s="34"/>
      <c r="PDO10" s="34"/>
      <c r="PDP10" s="34"/>
      <c r="PDQ10" s="34"/>
      <c r="PDR10" s="34"/>
      <c r="PDS10" s="34"/>
      <c r="PDT10" s="34"/>
      <c r="PDU10" s="34"/>
      <c r="PDV10" s="34"/>
      <c r="PDW10" s="34"/>
      <c r="PDX10" s="34"/>
      <c r="PDY10" s="34"/>
      <c r="PDZ10" s="34"/>
      <c r="PEA10" s="34"/>
      <c r="PEB10" s="34"/>
      <c r="PEC10" s="34"/>
      <c r="PED10" s="34"/>
      <c r="PEE10" s="34"/>
      <c r="PEF10" s="34"/>
      <c r="PEG10" s="34"/>
      <c r="PEH10" s="34"/>
      <c r="PEI10" s="34"/>
      <c r="PEJ10" s="34"/>
      <c r="PEK10" s="34"/>
      <c r="PEL10" s="34"/>
      <c r="PEM10" s="34"/>
      <c r="PEN10" s="34"/>
      <c r="PEO10" s="34"/>
      <c r="PEP10" s="34"/>
      <c r="PEQ10" s="34"/>
      <c r="PER10" s="34"/>
      <c r="PES10" s="34"/>
      <c r="PET10" s="34"/>
      <c r="PEU10" s="34"/>
      <c r="PEV10" s="34"/>
      <c r="PEW10" s="34"/>
      <c r="PEX10" s="34"/>
      <c r="PEY10" s="34"/>
      <c r="PEZ10" s="34"/>
      <c r="PFA10" s="34"/>
      <c r="PFB10" s="34"/>
      <c r="PFC10" s="34"/>
      <c r="PFD10" s="34"/>
      <c r="PFE10" s="34"/>
      <c r="PFF10" s="34"/>
      <c r="PFG10" s="34"/>
      <c r="PFH10" s="34"/>
      <c r="PFI10" s="34"/>
      <c r="PFJ10" s="34"/>
      <c r="PFK10" s="34"/>
      <c r="PFL10" s="34"/>
      <c r="PFM10" s="34"/>
      <c r="PFN10" s="34"/>
      <c r="PFO10" s="34"/>
      <c r="PFP10" s="34"/>
      <c r="PFQ10" s="34"/>
      <c r="PFR10" s="34"/>
      <c r="PFS10" s="34"/>
      <c r="PFT10" s="34"/>
      <c r="PFU10" s="34"/>
      <c r="PFV10" s="34"/>
      <c r="PFW10" s="34"/>
      <c r="PFX10" s="34"/>
      <c r="PFY10" s="34"/>
      <c r="PFZ10" s="34"/>
      <c r="PGA10" s="34"/>
      <c r="PGB10" s="34"/>
      <c r="PGC10" s="34"/>
      <c r="PGD10" s="34"/>
      <c r="PGE10" s="34"/>
      <c r="PGF10" s="34"/>
      <c r="PGG10" s="34"/>
      <c r="PGH10" s="34"/>
      <c r="PGI10" s="34"/>
      <c r="PGJ10" s="34"/>
      <c r="PGK10" s="34"/>
      <c r="PGL10" s="34"/>
      <c r="PGM10" s="34"/>
      <c r="PGN10" s="34"/>
      <c r="PGO10" s="34"/>
      <c r="PGP10" s="34"/>
      <c r="PGQ10" s="34"/>
      <c r="PGR10" s="34"/>
      <c r="PGS10" s="34"/>
      <c r="PGT10" s="34"/>
      <c r="PGU10" s="34"/>
      <c r="PGV10" s="34"/>
      <c r="PGW10" s="34"/>
      <c r="PGX10" s="34"/>
      <c r="PGY10" s="34"/>
      <c r="PGZ10" s="34"/>
      <c r="PHA10" s="34"/>
      <c r="PHB10" s="34"/>
      <c r="PHC10" s="34"/>
      <c r="PHD10" s="34"/>
      <c r="PHE10" s="34"/>
      <c r="PHF10" s="34"/>
      <c r="PHG10" s="34"/>
      <c r="PHH10" s="34"/>
      <c r="PHI10" s="34"/>
      <c r="PHJ10" s="34"/>
      <c r="PHK10" s="34"/>
      <c r="PHL10" s="34"/>
      <c r="PHM10" s="34"/>
      <c r="PHN10" s="34"/>
      <c r="PHO10" s="34"/>
      <c r="PHP10" s="34"/>
      <c r="PHQ10" s="34"/>
      <c r="PHR10" s="34"/>
      <c r="PHS10" s="34"/>
      <c r="PHT10" s="34"/>
      <c r="PHU10" s="34"/>
      <c r="PHV10" s="34"/>
      <c r="PHW10" s="34"/>
      <c r="PHX10" s="34"/>
      <c r="PHY10" s="34"/>
      <c r="PHZ10" s="34"/>
      <c r="PIA10" s="34"/>
      <c r="PIB10" s="34"/>
      <c r="PIC10" s="34"/>
      <c r="PID10" s="34"/>
      <c r="PIE10" s="34"/>
      <c r="PIF10" s="34"/>
      <c r="PIG10" s="34"/>
      <c r="PIH10" s="34"/>
      <c r="PII10" s="34"/>
      <c r="PIJ10" s="34"/>
      <c r="PIK10" s="34"/>
      <c r="PIL10" s="34"/>
      <c r="PIM10" s="34"/>
      <c r="PIN10" s="34"/>
      <c r="PIO10" s="34"/>
      <c r="PIP10" s="34"/>
      <c r="PIQ10" s="34"/>
      <c r="PIR10" s="34"/>
      <c r="PIS10" s="34"/>
      <c r="PIT10" s="34"/>
      <c r="PIU10" s="34"/>
      <c r="PIV10" s="34"/>
      <c r="PIW10" s="34"/>
      <c r="PIX10" s="34"/>
      <c r="PIY10" s="34"/>
      <c r="PIZ10" s="34"/>
      <c r="PJA10" s="34"/>
      <c r="PJB10" s="34"/>
      <c r="PJC10" s="34"/>
      <c r="PJD10" s="34"/>
      <c r="PJE10" s="34"/>
      <c r="PJF10" s="34"/>
      <c r="PJG10" s="34"/>
      <c r="PJH10" s="34"/>
      <c r="PJI10" s="34"/>
      <c r="PJJ10" s="34"/>
      <c r="PJK10" s="34"/>
      <c r="PJL10" s="34"/>
      <c r="PJM10" s="34"/>
      <c r="PJN10" s="34"/>
      <c r="PJO10" s="34"/>
      <c r="PJP10" s="34"/>
      <c r="PJQ10" s="34"/>
      <c r="PJR10" s="34"/>
      <c r="PJS10" s="34"/>
      <c r="PJT10" s="34"/>
      <c r="PJU10" s="34"/>
      <c r="PJV10" s="34"/>
      <c r="PJW10" s="34"/>
      <c r="PJX10" s="34"/>
      <c r="PJY10" s="34"/>
      <c r="PJZ10" s="34"/>
      <c r="PKA10" s="34"/>
      <c r="PKB10" s="34"/>
      <c r="PKC10" s="34"/>
      <c r="PKD10" s="34"/>
      <c r="PKE10" s="34"/>
      <c r="PKF10" s="34"/>
      <c r="PKG10" s="34"/>
      <c r="PKH10" s="34"/>
      <c r="PKI10" s="34"/>
      <c r="PKJ10" s="34"/>
      <c r="PKK10" s="34"/>
      <c r="PKL10" s="34"/>
      <c r="PKM10" s="34"/>
      <c r="PKN10" s="34"/>
      <c r="PKO10" s="34"/>
      <c r="PKP10" s="34"/>
      <c r="PKQ10" s="34"/>
      <c r="PKR10" s="34"/>
      <c r="PKS10" s="34"/>
      <c r="PKT10" s="34"/>
      <c r="PKU10" s="34"/>
      <c r="PKV10" s="34"/>
      <c r="PKW10" s="34"/>
      <c r="PKX10" s="34"/>
      <c r="PKY10" s="34"/>
      <c r="PKZ10" s="34"/>
      <c r="PLA10" s="34"/>
      <c r="PLB10" s="34"/>
      <c r="PLC10" s="34"/>
      <c r="PLD10" s="34"/>
      <c r="PLE10" s="34"/>
      <c r="PLF10" s="34"/>
      <c r="PLG10" s="34"/>
      <c r="PLH10" s="34"/>
      <c r="PLI10" s="34"/>
      <c r="PLJ10" s="34"/>
      <c r="PLK10" s="34"/>
      <c r="PLL10" s="34"/>
      <c r="PLM10" s="34"/>
      <c r="PLN10" s="34"/>
      <c r="PLO10" s="34"/>
      <c r="PLP10" s="34"/>
      <c r="PLQ10" s="34"/>
      <c r="PLR10" s="34"/>
      <c r="PLS10" s="34"/>
      <c r="PLT10" s="34"/>
      <c r="PLU10" s="34"/>
      <c r="PLV10" s="34"/>
      <c r="PLW10" s="34"/>
      <c r="PLX10" s="34"/>
      <c r="PLY10" s="34"/>
      <c r="PLZ10" s="34"/>
      <c r="PMA10" s="34"/>
      <c r="PMB10" s="34"/>
      <c r="PMC10" s="34"/>
      <c r="PMD10" s="34"/>
      <c r="PME10" s="34"/>
      <c r="PMF10" s="34"/>
      <c r="PMG10" s="34"/>
      <c r="PMH10" s="34"/>
      <c r="PMI10" s="34"/>
      <c r="PMJ10" s="34"/>
      <c r="PMK10" s="34"/>
      <c r="PML10" s="34"/>
      <c r="PMM10" s="34"/>
      <c r="PMN10" s="34"/>
      <c r="PMO10" s="34"/>
      <c r="PMP10" s="34"/>
      <c r="PMQ10" s="34"/>
      <c r="PMR10" s="34"/>
      <c r="PMS10" s="34"/>
      <c r="PMT10" s="34"/>
      <c r="PMU10" s="34"/>
      <c r="PMV10" s="34"/>
      <c r="PMW10" s="34"/>
      <c r="PMX10" s="34"/>
      <c r="PMY10" s="34"/>
      <c r="PMZ10" s="34"/>
      <c r="PNA10" s="34"/>
      <c r="PNB10" s="34"/>
      <c r="PNC10" s="34"/>
      <c r="PND10" s="34"/>
      <c r="PNE10" s="34"/>
      <c r="PNF10" s="34"/>
      <c r="PNG10" s="34"/>
      <c r="PNH10" s="34"/>
      <c r="PNI10" s="34"/>
      <c r="PNJ10" s="34"/>
      <c r="PNK10" s="34"/>
      <c r="PNL10" s="34"/>
      <c r="PNM10" s="34"/>
      <c r="PNN10" s="34"/>
      <c r="PNO10" s="34"/>
      <c r="PNP10" s="34"/>
      <c r="PNQ10" s="34"/>
      <c r="PNR10" s="34"/>
      <c r="PNS10" s="34"/>
      <c r="PNT10" s="34"/>
      <c r="PNU10" s="34"/>
      <c r="PNV10" s="34"/>
      <c r="PNW10" s="34"/>
      <c r="PNX10" s="34"/>
      <c r="PNY10" s="34"/>
      <c r="PNZ10" s="34"/>
      <c r="POA10" s="34"/>
      <c r="POB10" s="34"/>
      <c r="POC10" s="34"/>
      <c r="POD10" s="34"/>
      <c r="POE10" s="34"/>
      <c r="POF10" s="34"/>
      <c r="POG10" s="34"/>
      <c r="POH10" s="34"/>
      <c r="POI10" s="34"/>
      <c r="POJ10" s="34"/>
      <c r="POK10" s="34"/>
      <c r="POL10" s="34"/>
      <c r="POM10" s="34"/>
      <c r="PON10" s="34"/>
      <c r="POO10" s="34"/>
      <c r="POP10" s="34"/>
      <c r="POQ10" s="34"/>
      <c r="POR10" s="34"/>
      <c r="POS10" s="34"/>
      <c r="POT10" s="34"/>
      <c r="POU10" s="34"/>
      <c r="POV10" s="34"/>
      <c r="POW10" s="34"/>
      <c r="POX10" s="34"/>
      <c r="POY10" s="34"/>
      <c r="POZ10" s="34"/>
      <c r="PPA10" s="34"/>
      <c r="PPB10" s="34"/>
      <c r="PPC10" s="34"/>
      <c r="PPD10" s="34"/>
      <c r="PPE10" s="34"/>
      <c r="PPF10" s="34"/>
      <c r="PPG10" s="34"/>
      <c r="PPH10" s="34"/>
      <c r="PPI10" s="34"/>
      <c r="PPJ10" s="34"/>
      <c r="PPK10" s="34"/>
      <c r="PPL10" s="34"/>
      <c r="PPM10" s="34"/>
      <c r="PPN10" s="34"/>
      <c r="PPO10" s="34"/>
      <c r="PPP10" s="34"/>
      <c r="PPQ10" s="34"/>
      <c r="PPR10" s="34"/>
      <c r="PPS10" s="34"/>
      <c r="PPT10" s="34"/>
      <c r="PPU10" s="34"/>
      <c r="PPV10" s="34"/>
      <c r="PPW10" s="34"/>
      <c r="PPX10" s="34"/>
      <c r="PPY10" s="34"/>
      <c r="PPZ10" s="34"/>
      <c r="PQA10" s="34"/>
      <c r="PQB10" s="34"/>
      <c r="PQC10" s="34"/>
      <c r="PQD10" s="34"/>
      <c r="PQE10" s="34"/>
      <c r="PQF10" s="34"/>
      <c r="PQG10" s="34"/>
      <c r="PQH10" s="34"/>
      <c r="PQI10" s="34"/>
      <c r="PQJ10" s="34"/>
      <c r="PQK10" s="34"/>
      <c r="PQL10" s="34"/>
      <c r="PQM10" s="34"/>
      <c r="PQN10" s="34"/>
      <c r="PQO10" s="34"/>
      <c r="PQP10" s="34"/>
      <c r="PQQ10" s="34"/>
      <c r="PQR10" s="34"/>
      <c r="PQS10" s="34"/>
      <c r="PQT10" s="34"/>
      <c r="PQU10" s="34"/>
      <c r="PQV10" s="34"/>
      <c r="PQW10" s="34"/>
      <c r="PQX10" s="34"/>
      <c r="PQY10" s="34"/>
      <c r="PQZ10" s="34"/>
      <c r="PRA10" s="34"/>
      <c r="PRB10" s="34"/>
      <c r="PRC10" s="34"/>
      <c r="PRD10" s="34"/>
      <c r="PRE10" s="34"/>
      <c r="PRF10" s="34"/>
      <c r="PRG10" s="34"/>
      <c r="PRH10" s="34"/>
      <c r="PRI10" s="34"/>
      <c r="PRJ10" s="34"/>
      <c r="PRK10" s="34"/>
      <c r="PRL10" s="34"/>
      <c r="PRM10" s="34"/>
      <c r="PRN10" s="34"/>
      <c r="PRO10" s="34"/>
      <c r="PRP10" s="34"/>
      <c r="PRQ10" s="34"/>
      <c r="PRR10" s="34"/>
      <c r="PRS10" s="34"/>
      <c r="PRT10" s="34"/>
      <c r="PRU10" s="34"/>
      <c r="PRV10" s="34"/>
      <c r="PRW10" s="34"/>
      <c r="PRX10" s="34"/>
      <c r="PRY10" s="34"/>
      <c r="PRZ10" s="34"/>
      <c r="PSA10" s="34"/>
      <c r="PSB10" s="34"/>
      <c r="PSC10" s="34"/>
      <c r="PSD10" s="34"/>
      <c r="PSE10" s="34"/>
      <c r="PSF10" s="34"/>
      <c r="PSG10" s="34"/>
      <c r="PSH10" s="34"/>
      <c r="PSI10" s="34"/>
      <c r="PSJ10" s="34"/>
      <c r="PSK10" s="34"/>
      <c r="PSL10" s="34"/>
      <c r="PSM10" s="34"/>
      <c r="PSN10" s="34"/>
      <c r="PSO10" s="34"/>
      <c r="PSP10" s="34"/>
      <c r="PSQ10" s="34"/>
      <c r="PSR10" s="34"/>
      <c r="PSS10" s="34"/>
      <c r="PST10" s="34"/>
      <c r="PSU10" s="34"/>
      <c r="PSV10" s="34"/>
      <c r="PSW10" s="34"/>
      <c r="PSX10" s="34"/>
      <c r="PSY10" s="34"/>
      <c r="PSZ10" s="34"/>
      <c r="PTA10" s="34"/>
      <c r="PTB10" s="34"/>
      <c r="PTC10" s="34"/>
      <c r="PTD10" s="34"/>
      <c r="PTE10" s="34"/>
      <c r="PTF10" s="34"/>
      <c r="PTG10" s="34"/>
      <c r="PTH10" s="34"/>
      <c r="PTI10" s="34"/>
      <c r="PTJ10" s="34"/>
      <c r="PTK10" s="34"/>
      <c r="PTL10" s="34"/>
      <c r="PTM10" s="34"/>
      <c r="PTN10" s="34"/>
      <c r="PTO10" s="34"/>
      <c r="PTP10" s="34"/>
      <c r="PTQ10" s="34"/>
      <c r="PTR10" s="34"/>
      <c r="PTS10" s="34"/>
      <c r="PTT10" s="34"/>
      <c r="PTU10" s="34"/>
      <c r="PTV10" s="34"/>
      <c r="PTW10" s="34"/>
      <c r="PTX10" s="34"/>
      <c r="PTY10" s="34"/>
      <c r="PTZ10" s="34"/>
      <c r="PUA10" s="34"/>
      <c r="PUB10" s="34"/>
      <c r="PUC10" s="34"/>
      <c r="PUD10" s="34"/>
      <c r="PUE10" s="34"/>
      <c r="PUF10" s="34"/>
      <c r="PUG10" s="34"/>
      <c r="PUH10" s="34"/>
      <c r="PUI10" s="34"/>
      <c r="PUJ10" s="34"/>
      <c r="PUK10" s="34"/>
      <c r="PUL10" s="34"/>
      <c r="PUM10" s="34"/>
      <c r="PUN10" s="34"/>
      <c r="PUO10" s="34"/>
      <c r="PUP10" s="34"/>
      <c r="PUQ10" s="34"/>
      <c r="PUR10" s="34"/>
      <c r="PUS10" s="34"/>
      <c r="PUT10" s="34"/>
      <c r="PUU10" s="34"/>
      <c r="PUV10" s="34"/>
      <c r="PUW10" s="34"/>
      <c r="PUX10" s="34"/>
      <c r="PUY10" s="34"/>
      <c r="PUZ10" s="34"/>
      <c r="PVA10" s="34"/>
      <c r="PVB10" s="34"/>
      <c r="PVC10" s="34"/>
      <c r="PVD10" s="34"/>
      <c r="PVE10" s="34"/>
      <c r="PVF10" s="34"/>
      <c r="PVG10" s="34"/>
      <c r="PVH10" s="34"/>
      <c r="PVI10" s="34"/>
      <c r="PVJ10" s="34"/>
      <c r="PVK10" s="34"/>
      <c r="PVL10" s="34"/>
      <c r="PVM10" s="34"/>
      <c r="PVN10" s="34"/>
      <c r="PVO10" s="34"/>
      <c r="PVP10" s="34"/>
      <c r="PVQ10" s="34"/>
      <c r="PVR10" s="34"/>
      <c r="PVS10" s="34"/>
      <c r="PVT10" s="34"/>
      <c r="PVU10" s="34"/>
      <c r="PVV10" s="34"/>
      <c r="PVW10" s="34"/>
      <c r="PVX10" s="34"/>
      <c r="PVY10" s="34"/>
      <c r="PVZ10" s="34"/>
      <c r="PWA10" s="34"/>
      <c r="PWB10" s="34"/>
      <c r="PWC10" s="34"/>
      <c r="PWD10" s="34"/>
      <c r="PWE10" s="34"/>
      <c r="PWF10" s="34"/>
      <c r="PWG10" s="34"/>
      <c r="PWH10" s="34"/>
      <c r="PWI10" s="34"/>
      <c r="PWJ10" s="34"/>
      <c r="PWK10" s="34"/>
      <c r="PWL10" s="34"/>
      <c r="PWM10" s="34"/>
      <c r="PWN10" s="34"/>
      <c r="PWO10" s="34"/>
      <c r="PWP10" s="34"/>
      <c r="PWQ10" s="34"/>
      <c r="PWR10" s="34"/>
      <c r="PWS10" s="34"/>
      <c r="PWT10" s="34"/>
      <c r="PWU10" s="34"/>
      <c r="PWV10" s="34"/>
      <c r="PWW10" s="34"/>
      <c r="PWX10" s="34"/>
      <c r="PWY10" s="34"/>
      <c r="PWZ10" s="34"/>
      <c r="PXA10" s="34"/>
      <c r="PXB10" s="34"/>
      <c r="PXC10" s="34"/>
      <c r="PXD10" s="34"/>
      <c r="PXE10" s="34"/>
      <c r="PXF10" s="34"/>
      <c r="PXG10" s="34"/>
      <c r="PXH10" s="34"/>
      <c r="PXI10" s="34"/>
      <c r="PXJ10" s="34"/>
      <c r="PXK10" s="34"/>
      <c r="PXL10" s="34"/>
      <c r="PXM10" s="34"/>
      <c r="PXN10" s="34"/>
      <c r="PXO10" s="34"/>
      <c r="PXP10" s="34"/>
      <c r="PXQ10" s="34"/>
      <c r="PXR10" s="34"/>
      <c r="PXS10" s="34"/>
      <c r="PXT10" s="34"/>
      <c r="PXU10" s="34"/>
      <c r="PXV10" s="34"/>
      <c r="PXW10" s="34"/>
      <c r="PXX10" s="34"/>
      <c r="PXY10" s="34"/>
      <c r="PXZ10" s="34"/>
      <c r="PYA10" s="34"/>
      <c r="PYB10" s="34"/>
      <c r="PYC10" s="34"/>
      <c r="PYD10" s="34"/>
      <c r="PYE10" s="34"/>
      <c r="PYF10" s="34"/>
      <c r="PYG10" s="34"/>
      <c r="PYH10" s="34"/>
      <c r="PYI10" s="34"/>
      <c r="PYJ10" s="34"/>
      <c r="PYK10" s="34"/>
      <c r="PYL10" s="34"/>
      <c r="PYM10" s="34"/>
      <c r="PYN10" s="34"/>
      <c r="PYO10" s="34"/>
      <c r="PYP10" s="34"/>
      <c r="PYQ10" s="34"/>
      <c r="PYR10" s="34"/>
      <c r="PYS10" s="34"/>
      <c r="PYT10" s="34"/>
      <c r="PYU10" s="34"/>
      <c r="PYV10" s="34"/>
      <c r="PYW10" s="34"/>
      <c r="PYX10" s="34"/>
      <c r="PYY10" s="34"/>
      <c r="PYZ10" s="34"/>
      <c r="PZA10" s="34"/>
      <c r="PZB10" s="34"/>
      <c r="PZC10" s="34"/>
      <c r="PZD10" s="34"/>
      <c r="PZE10" s="34"/>
      <c r="PZF10" s="34"/>
      <c r="PZG10" s="34"/>
      <c r="PZH10" s="34"/>
      <c r="PZI10" s="34"/>
      <c r="PZJ10" s="34"/>
      <c r="PZK10" s="34"/>
      <c r="PZL10" s="34"/>
      <c r="PZM10" s="34"/>
      <c r="PZN10" s="34"/>
      <c r="PZO10" s="34"/>
      <c r="PZP10" s="34"/>
      <c r="PZQ10" s="34"/>
      <c r="PZR10" s="34"/>
      <c r="PZS10" s="34"/>
      <c r="PZT10" s="34"/>
      <c r="PZU10" s="34"/>
      <c r="PZV10" s="34"/>
      <c r="PZW10" s="34"/>
      <c r="PZX10" s="34"/>
      <c r="PZY10" s="34"/>
      <c r="PZZ10" s="34"/>
      <c r="QAA10" s="34"/>
      <c r="QAB10" s="34"/>
      <c r="QAC10" s="34"/>
      <c r="QAD10" s="34"/>
      <c r="QAE10" s="34"/>
      <c r="QAF10" s="34"/>
      <c r="QAG10" s="34"/>
      <c r="QAH10" s="34"/>
      <c r="QAI10" s="34"/>
      <c r="QAJ10" s="34"/>
      <c r="QAK10" s="34"/>
      <c r="QAL10" s="34"/>
      <c r="QAM10" s="34"/>
      <c r="QAN10" s="34"/>
      <c r="QAO10" s="34"/>
      <c r="QAP10" s="34"/>
      <c r="QAQ10" s="34"/>
      <c r="QAR10" s="34"/>
      <c r="QAS10" s="34"/>
      <c r="QAT10" s="34"/>
      <c r="QAU10" s="34"/>
      <c r="QAV10" s="34"/>
      <c r="QAW10" s="34"/>
      <c r="QAX10" s="34"/>
      <c r="QAY10" s="34"/>
      <c r="QAZ10" s="34"/>
      <c r="QBA10" s="34"/>
      <c r="QBB10" s="34"/>
      <c r="QBC10" s="34"/>
      <c r="QBD10" s="34"/>
      <c r="QBE10" s="34"/>
      <c r="QBF10" s="34"/>
      <c r="QBG10" s="34"/>
      <c r="QBH10" s="34"/>
      <c r="QBI10" s="34"/>
      <c r="QBJ10" s="34"/>
      <c r="QBK10" s="34"/>
      <c r="QBL10" s="34"/>
      <c r="QBM10" s="34"/>
      <c r="QBN10" s="34"/>
      <c r="QBO10" s="34"/>
      <c r="QBP10" s="34"/>
      <c r="QBQ10" s="34"/>
      <c r="QBR10" s="34"/>
      <c r="QBS10" s="34"/>
      <c r="QBT10" s="34"/>
      <c r="QBU10" s="34"/>
      <c r="QBV10" s="34"/>
      <c r="QBW10" s="34"/>
      <c r="QBX10" s="34"/>
      <c r="QBY10" s="34"/>
      <c r="QBZ10" s="34"/>
      <c r="QCA10" s="34"/>
      <c r="QCB10" s="34"/>
      <c r="QCC10" s="34"/>
      <c r="QCD10" s="34"/>
      <c r="QCE10" s="34"/>
      <c r="QCF10" s="34"/>
      <c r="QCG10" s="34"/>
      <c r="QCH10" s="34"/>
      <c r="QCI10" s="34"/>
      <c r="QCJ10" s="34"/>
      <c r="QCK10" s="34"/>
      <c r="QCL10" s="34"/>
      <c r="QCM10" s="34"/>
      <c r="QCN10" s="34"/>
      <c r="QCO10" s="34"/>
      <c r="QCP10" s="34"/>
      <c r="QCQ10" s="34"/>
      <c r="QCR10" s="34"/>
      <c r="QCS10" s="34"/>
      <c r="QCT10" s="34"/>
      <c r="QCU10" s="34"/>
      <c r="QCV10" s="34"/>
      <c r="QCW10" s="34"/>
      <c r="QCX10" s="34"/>
      <c r="QCY10" s="34"/>
      <c r="QCZ10" s="34"/>
      <c r="QDA10" s="34"/>
      <c r="QDB10" s="34"/>
      <c r="QDC10" s="34"/>
      <c r="QDD10" s="34"/>
      <c r="QDE10" s="34"/>
      <c r="QDF10" s="34"/>
      <c r="QDG10" s="34"/>
      <c r="QDH10" s="34"/>
      <c r="QDI10" s="34"/>
      <c r="QDJ10" s="34"/>
      <c r="QDK10" s="34"/>
      <c r="QDL10" s="34"/>
      <c r="QDM10" s="34"/>
      <c r="QDN10" s="34"/>
      <c r="QDO10" s="34"/>
      <c r="QDP10" s="34"/>
      <c r="QDQ10" s="34"/>
      <c r="QDR10" s="34"/>
      <c r="QDS10" s="34"/>
      <c r="QDT10" s="34"/>
      <c r="QDU10" s="34"/>
      <c r="QDV10" s="34"/>
      <c r="QDW10" s="34"/>
      <c r="QDX10" s="34"/>
      <c r="QDY10" s="34"/>
      <c r="QDZ10" s="34"/>
      <c r="QEA10" s="34"/>
      <c r="QEB10" s="34"/>
      <c r="QEC10" s="34"/>
      <c r="QED10" s="34"/>
      <c r="QEE10" s="34"/>
      <c r="QEF10" s="34"/>
      <c r="QEG10" s="34"/>
      <c r="QEH10" s="34"/>
      <c r="QEI10" s="34"/>
      <c r="QEJ10" s="34"/>
      <c r="QEK10" s="34"/>
      <c r="QEL10" s="34"/>
      <c r="QEM10" s="34"/>
      <c r="QEN10" s="34"/>
      <c r="QEO10" s="34"/>
      <c r="QEP10" s="34"/>
      <c r="QEQ10" s="34"/>
      <c r="QER10" s="34"/>
      <c r="QES10" s="34"/>
      <c r="QET10" s="34"/>
      <c r="QEU10" s="34"/>
      <c r="QEV10" s="34"/>
      <c r="QEW10" s="34"/>
      <c r="QEX10" s="34"/>
      <c r="QEY10" s="34"/>
      <c r="QEZ10" s="34"/>
      <c r="QFA10" s="34"/>
      <c r="QFB10" s="34"/>
      <c r="QFC10" s="34"/>
      <c r="QFD10" s="34"/>
      <c r="QFE10" s="34"/>
      <c r="QFF10" s="34"/>
      <c r="QFG10" s="34"/>
      <c r="QFH10" s="34"/>
      <c r="QFI10" s="34"/>
      <c r="QFJ10" s="34"/>
      <c r="QFK10" s="34"/>
      <c r="QFL10" s="34"/>
      <c r="QFM10" s="34"/>
      <c r="QFN10" s="34"/>
      <c r="QFO10" s="34"/>
      <c r="QFP10" s="34"/>
      <c r="QFQ10" s="34"/>
      <c r="QFR10" s="34"/>
      <c r="QFS10" s="34"/>
      <c r="QFT10" s="34"/>
      <c r="QFU10" s="34"/>
      <c r="QFV10" s="34"/>
      <c r="QFW10" s="34"/>
      <c r="QFX10" s="34"/>
      <c r="QFY10" s="34"/>
      <c r="QFZ10" s="34"/>
      <c r="QGA10" s="34"/>
      <c r="QGB10" s="34"/>
      <c r="QGC10" s="34"/>
      <c r="QGD10" s="34"/>
      <c r="QGE10" s="34"/>
      <c r="QGF10" s="34"/>
      <c r="QGG10" s="34"/>
      <c r="QGH10" s="34"/>
      <c r="QGI10" s="34"/>
      <c r="QGJ10" s="34"/>
      <c r="QGK10" s="34"/>
      <c r="QGL10" s="34"/>
      <c r="QGM10" s="34"/>
      <c r="QGN10" s="34"/>
      <c r="QGO10" s="34"/>
      <c r="QGP10" s="34"/>
      <c r="QGQ10" s="34"/>
      <c r="QGR10" s="34"/>
      <c r="QGS10" s="34"/>
      <c r="QGT10" s="34"/>
      <c r="QGU10" s="34"/>
      <c r="QGV10" s="34"/>
      <c r="QGW10" s="34"/>
      <c r="QGX10" s="34"/>
      <c r="QGY10" s="34"/>
      <c r="QGZ10" s="34"/>
      <c r="QHA10" s="34"/>
      <c r="QHB10" s="34"/>
      <c r="QHC10" s="34"/>
      <c r="QHD10" s="34"/>
      <c r="QHE10" s="34"/>
      <c r="QHF10" s="34"/>
      <c r="QHG10" s="34"/>
      <c r="QHH10" s="34"/>
      <c r="QHI10" s="34"/>
      <c r="QHJ10" s="34"/>
      <c r="QHK10" s="34"/>
      <c r="QHL10" s="34"/>
      <c r="QHM10" s="34"/>
      <c r="QHN10" s="34"/>
      <c r="QHO10" s="34"/>
      <c r="QHP10" s="34"/>
      <c r="QHQ10" s="34"/>
      <c r="QHR10" s="34"/>
      <c r="QHS10" s="34"/>
      <c r="QHT10" s="34"/>
      <c r="QHU10" s="34"/>
      <c r="QHV10" s="34"/>
      <c r="QHW10" s="34"/>
      <c r="QHX10" s="34"/>
      <c r="QHY10" s="34"/>
      <c r="QHZ10" s="34"/>
      <c r="QIA10" s="34"/>
      <c r="QIB10" s="34"/>
      <c r="QIC10" s="34"/>
      <c r="QID10" s="34"/>
      <c r="QIE10" s="34"/>
      <c r="QIF10" s="34"/>
      <c r="QIG10" s="34"/>
      <c r="QIH10" s="34"/>
      <c r="QII10" s="34"/>
      <c r="QIJ10" s="34"/>
      <c r="QIK10" s="34"/>
      <c r="QIL10" s="34"/>
      <c r="QIM10" s="34"/>
      <c r="QIN10" s="34"/>
      <c r="QIO10" s="34"/>
      <c r="QIP10" s="34"/>
      <c r="QIQ10" s="34"/>
      <c r="QIR10" s="34"/>
      <c r="QIS10" s="34"/>
      <c r="QIT10" s="34"/>
      <c r="QIU10" s="34"/>
      <c r="QIV10" s="34"/>
      <c r="QIW10" s="34"/>
      <c r="QIX10" s="34"/>
      <c r="QIY10" s="34"/>
      <c r="QIZ10" s="34"/>
      <c r="QJA10" s="34"/>
      <c r="QJB10" s="34"/>
      <c r="QJC10" s="34"/>
      <c r="QJD10" s="34"/>
      <c r="QJE10" s="34"/>
      <c r="QJF10" s="34"/>
      <c r="QJG10" s="34"/>
      <c r="QJH10" s="34"/>
      <c r="QJI10" s="34"/>
      <c r="QJJ10" s="34"/>
      <c r="QJK10" s="34"/>
      <c r="QJL10" s="34"/>
      <c r="QJM10" s="34"/>
      <c r="QJN10" s="34"/>
      <c r="QJO10" s="34"/>
      <c r="QJP10" s="34"/>
      <c r="QJQ10" s="34"/>
      <c r="QJR10" s="34"/>
      <c r="QJS10" s="34"/>
      <c r="QJT10" s="34"/>
      <c r="QJU10" s="34"/>
      <c r="QJV10" s="34"/>
      <c r="QJW10" s="34"/>
      <c r="QJX10" s="34"/>
      <c r="QJY10" s="34"/>
      <c r="QJZ10" s="34"/>
      <c r="QKA10" s="34"/>
      <c r="QKB10" s="34"/>
      <c r="QKC10" s="34"/>
      <c r="QKD10" s="34"/>
      <c r="QKE10" s="34"/>
      <c r="QKF10" s="34"/>
      <c r="QKG10" s="34"/>
      <c r="QKH10" s="34"/>
      <c r="QKI10" s="34"/>
      <c r="QKJ10" s="34"/>
      <c r="QKK10" s="34"/>
      <c r="QKL10" s="34"/>
      <c r="QKM10" s="34"/>
      <c r="QKN10" s="34"/>
      <c r="QKO10" s="34"/>
      <c r="QKP10" s="34"/>
      <c r="QKQ10" s="34"/>
      <c r="QKR10" s="34"/>
      <c r="QKS10" s="34"/>
      <c r="QKT10" s="34"/>
      <c r="QKU10" s="34"/>
      <c r="QKV10" s="34"/>
      <c r="QKW10" s="34"/>
      <c r="QKX10" s="34"/>
      <c r="QKY10" s="34"/>
      <c r="QKZ10" s="34"/>
      <c r="QLA10" s="34"/>
      <c r="QLB10" s="34"/>
      <c r="QLC10" s="34"/>
      <c r="QLD10" s="34"/>
      <c r="QLE10" s="34"/>
      <c r="QLF10" s="34"/>
      <c r="QLG10" s="34"/>
      <c r="QLH10" s="34"/>
      <c r="QLI10" s="34"/>
      <c r="QLJ10" s="34"/>
      <c r="QLK10" s="34"/>
      <c r="QLL10" s="34"/>
      <c r="QLM10" s="34"/>
      <c r="QLN10" s="34"/>
      <c r="QLO10" s="34"/>
      <c r="QLP10" s="34"/>
      <c r="QLQ10" s="34"/>
      <c r="QLR10" s="34"/>
      <c r="QLS10" s="34"/>
      <c r="QLT10" s="34"/>
      <c r="QLU10" s="34"/>
      <c r="QLV10" s="34"/>
      <c r="QLW10" s="34"/>
      <c r="QLX10" s="34"/>
      <c r="QLY10" s="34"/>
      <c r="QLZ10" s="34"/>
      <c r="QMA10" s="34"/>
      <c r="QMB10" s="34"/>
      <c r="QMC10" s="34"/>
      <c r="QMD10" s="34"/>
      <c r="QME10" s="34"/>
      <c r="QMF10" s="34"/>
      <c r="QMG10" s="34"/>
      <c r="QMH10" s="34"/>
      <c r="QMI10" s="34"/>
      <c r="QMJ10" s="34"/>
      <c r="QMK10" s="34"/>
      <c r="QML10" s="34"/>
      <c r="QMM10" s="34"/>
      <c r="QMN10" s="34"/>
      <c r="QMO10" s="34"/>
      <c r="QMP10" s="34"/>
      <c r="QMQ10" s="34"/>
      <c r="QMR10" s="34"/>
      <c r="QMS10" s="34"/>
      <c r="QMT10" s="34"/>
      <c r="QMU10" s="34"/>
      <c r="QMV10" s="34"/>
      <c r="QMW10" s="34"/>
      <c r="QMX10" s="34"/>
      <c r="QMY10" s="34"/>
      <c r="QMZ10" s="34"/>
      <c r="QNA10" s="34"/>
      <c r="QNB10" s="34"/>
      <c r="QNC10" s="34"/>
      <c r="QND10" s="34"/>
      <c r="QNE10" s="34"/>
      <c r="QNF10" s="34"/>
      <c r="QNG10" s="34"/>
      <c r="QNH10" s="34"/>
      <c r="QNI10" s="34"/>
      <c r="QNJ10" s="34"/>
      <c r="QNK10" s="34"/>
      <c r="QNL10" s="34"/>
      <c r="QNM10" s="34"/>
      <c r="QNN10" s="34"/>
      <c r="QNO10" s="34"/>
      <c r="QNP10" s="34"/>
      <c r="QNQ10" s="34"/>
      <c r="QNR10" s="34"/>
      <c r="QNS10" s="34"/>
      <c r="QNT10" s="34"/>
      <c r="QNU10" s="34"/>
      <c r="QNV10" s="34"/>
      <c r="QNW10" s="34"/>
      <c r="QNX10" s="34"/>
      <c r="QNY10" s="34"/>
      <c r="QNZ10" s="34"/>
      <c r="QOA10" s="34"/>
      <c r="QOB10" s="34"/>
      <c r="QOC10" s="34"/>
      <c r="QOD10" s="34"/>
      <c r="QOE10" s="34"/>
      <c r="QOF10" s="34"/>
      <c r="QOG10" s="34"/>
      <c r="QOH10" s="34"/>
      <c r="QOI10" s="34"/>
      <c r="QOJ10" s="34"/>
      <c r="QOK10" s="34"/>
      <c r="QOL10" s="34"/>
      <c r="QOM10" s="34"/>
      <c r="QON10" s="34"/>
      <c r="QOO10" s="34"/>
      <c r="QOP10" s="34"/>
      <c r="QOQ10" s="34"/>
      <c r="QOR10" s="34"/>
      <c r="QOS10" s="34"/>
      <c r="QOT10" s="34"/>
      <c r="QOU10" s="34"/>
      <c r="QOV10" s="34"/>
      <c r="QOW10" s="34"/>
      <c r="QOX10" s="34"/>
      <c r="QOY10" s="34"/>
      <c r="QOZ10" s="34"/>
      <c r="QPA10" s="34"/>
      <c r="QPB10" s="34"/>
      <c r="QPC10" s="34"/>
      <c r="QPD10" s="34"/>
      <c r="QPE10" s="34"/>
      <c r="QPF10" s="34"/>
      <c r="QPG10" s="34"/>
      <c r="QPH10" s="34"/>
      <c r="QPI10" s="34"/>
      <c r="QPJ10" s="34"/>
      <c r="QPK10" s="34"/>
      <c r="QPL10" s="34"/>
      <c r="QPM10" s="34"/>
      <c r="QPN10" s="34"/>
      <c r="QPO10" s="34"/>
      <c r="QPP10" s="34"/>
      <c r="QPQ10" s="34"/>
      <c r="QPR10" s="34"/>
      <c r="QPS10" s="34"/>
      <c r="QPT10" s="34"/>
      <c r="QPU10" s="34"/>
      <c r="QPV10" s="34"/>
      <c r="QPW10" s="34"/>
      <c r="QPX10" s="34"/>
      <c r="QPY10" s="34"/>
      <c r="QPZ10" s="34"/>
      <c r="QQA10" s="34"/>
      <c r="QQB10" s="34"/>
      <c r="QQC10" s="34"/>
      <c r="QQD10" s="34"/>
      <c r="QQE10" s="34"/>
      <c r="QQF10" s="34"/>
      <c r="QQG10" s="34"/>
      <c r="QQH10" s="34"/>
      <c r="QQI10" s="34"/>
      <c r="QQJ10" s="34"/>
      <c r="QQK10" s="34"/>
      <c r="QQL10" s="34"/>
      <c r="QQM10" s="34"/>
      <c r="QQN10" s="34"/>
      <c r="QQO10" s="34"/>
      <c r="QQP10" s="34"/>
      <c r="QQQ10" s="34"/>
      <c r="QQR10" s="34"/>
      <c r="QQS10" s="34"/>
      <c r="QQT10" s="34"/>
      <c r="QQU10" s="34"/>
      <c r="QQV10" s="34"/>
      <c r="QQW10" s="34"/>
      <c r="QQX10" s="34"/>
      <c r="QQY10" s="34"/>
      <c r="QQZ10" s="34"/>
      <c r="QRA10" s="34"/>
      <c r="QRB10" s="34"/>
      <c r="QRC10" s="34"/>
      <c r="QRD10" s="34"/>
      <c r="QRE10" s="34"/>
      <c r="QRF10" s="34"/>
      <c r="QRG10" s="34"/>
      <c r="QRH10" s="34"/>
      <c r="QRI10" s="34"/>
      <c r="QRJ10" s="34"/>
      <c r="QRK10" s="34"/>
      <c r="QRL10" s="34"/>
      <c r="QRM10" s="34"/>
      <c r="QRN10" s="34"/>
      <c r="QRO10" s="34"/>
      <c r="QRP10" s="34"/>
      <c r="QRQ10" s="34"/>
      <c r="QRR10" s="34"/>
      <c r="QRS10" s="34"/>
      <c r="QRT10" s="34"/>
      <c r="QRU10" s="34"/>
      <c r="QRV10" s="34"/>
      <c r="QRW10" s="34"/>
      <c r="QRX10" s="34"/>
      <c r="QRY10" s="34"/>
      <c r="QRZ10" s="34"/>
      <c r="QSA10" s="34"/>
      <c r="QSB10" s="34"/>
      <c r="QSC10" s="34"/>
      <c r="QSD10" s="34"/>
      <c r="QSE10" s="34"/>
      <c r="QSF10" s="34"/>
      <c r="QSG10" s="34"/>
      <c r="QSH10" s="34"/>
      <c r="QSI10" s="34"/>
      <c r="QSJ10" s="34"/>
      <c r="QSK10" s="34"/>
      <c r="QSL10" s="34"/>
      <c r="QSM10" s="34"/>
      <c r="QSN10" s="34"/>
      <c r="QSO10" s="34"/>
      <c r="QSP10" s="34"/>
      <c r="QSQ10" s="34"/>
      <c r="QSR10" s="34"/>
      <c r="QSS10" s="34"/>
      <c r="QST10" s="34"/>
      <c r="QSU10" s="34"/>
      <c r="QSV10" s="34"/>
      <c r="QSW10" s="34"/>
      <c r="QSX10" s="34"/>
      <c r="QSY10" s="34"/>
      <c r="QSZ10" s="34"/>
      <c r="QTA10" s="34"/>
      <c r="QTB10" s="34"/>
      <c r="QTC10" s="34"/>
      <c r="QTD10" s="34"/>
      <c r="QTE10" s="34"/>
      <c r="QTF10" s="34"/>
      <c r="QTG10" s="34"/>
      <c r="QTH10" s="34"/>
      <c r="QTI10" s="34"/>
      <c r="QTJ10" s="34"/>
      <c r="QTK10" s="34"/>
      <c r="QTL10" s="34"/>
      <c r="QTM10" s="34"/>
      <c r="QTN10" s="34"/>
      <c r="QTO10" s="34"/>
      <c r="QTP10" s="34"/>
      <c r="QTQ10" s="34"/>
      <c r="QTR10" s="34"/>
      <c r="QTS10" s="34"/>
      <c r="QTT10" s="34"/>
      <c r="QTU10" s="34"/>
      <c r="QTV10" s="34"/>
      <c r="QTW10" s="34"/>
      <c r="QTX10" s="34"/>
      <c r="QTY10" s="34"/>
      <c r="QTZ10" s="34"/>
      <c r="QUA10" s="34"/>
      <c r="QUB10" s="34"/>
      <c r="QUC10" s="34"/>
      <c r="QUD10" s="34"/>
      <c r="QUE10" s="34"/>
      <c r="QUF10" s="34"/>
      <c r="QUG10" s="34"/>
      <c r="QUH10" s="34"/>
      <c r="QUI10" s="34"/>
      <c r="QUJ10" s="34"/>
      <c r="QUK10" s="34"/>
      <c r="QUL10" s="34"/>
      <c r="QUM10" s="34"/>
      <c r="QUN10" s="34"/>
      <c r="QUO10" s="34"/>
      <c r="QUP10" s="34"/>
      <c r="QUQ10" s="34"/>
      <c r="QUR10" s="34"/>
      <c r="QUS10" s="34"/>
      <c r="QUT10" s="34"/>
      <c r="QUU10" s="34"/>
      <c r="QUV10" s="34"/>
      <c r="QUW10" s="34"/>
      <c r="QUX10" s="34"/>
      <c r="QUY10" s="34"/>
      <c r="QUZ10" s="34"/>
      <c r="QVA10" s="34"/>
      <c r="QVB10" s="34"/>
      <c r="QVC10" s="34"/>
      <c r="QVD10" s="34"/>
      <c r="QVE10" s="34"/>
      <c r="QVF10" s="34"/>
      <c r="QVG10" s="34"/>
      <c r="QVH10" s="34"/>
      <c r="QVI10" s="34"/>
      <c r="QVJ10" s="34"/>
      <c r="QVK10" s="34"/>
      <c r="QVL10" s="34"/>
      <c r="QVM10" s="34"/>
      <c r="QVN10" s="34"/>
      <c r="QVO10" s="34"/>
      <c r="QVP10" s="34"/>
      <c r="QVQ10" s="34"/>
      <c r="QVR10" s="34"/>
      <c r="QVS10" s="34"/>
      <c r="QVT10" s="34"/>
      <c r="QVU10" s="34"/>
      <c r="QVV10" s="34"/>
      <c r="QVW10" s="34"/>
      <c r="QVX10" s="34"/>
      <c r="QVY10" s="34"/>
      <c r="QVZ10" s="34"/>
      <c r="QWA10" s="34"/>
      <c r="QWB10" s="34"/>
      <c r="QWC10" s="34"/>
      <c r="QWD10" s="34"/>
      <c r="QWE10" s="34"/>
      <c r="QWF10" s="34"/>
      <c r="QWG10" s="34"/>
      <c r="QWH10" s="34"/>
      <c r="QWI10" s="34"/>
      <c r="QWJ10" s="34"/>
      <c r="QWK10" s="34"/>
      <c r="QWL10" s="34"/>
      <c r="QWM10" s="34"/>
      <c r="QWN10" s="34"/>
      <c r="QWO10" s="34"/>
      <c r="QWP10" s="34"/>
      <c r="QWQ10" s="34"/>
      <c r="QWR10" s="34"/>
      <c r="QWS10" s="34"/>
      <c r="QWT10" s="34"/>
      <c r="QWU10" s="34"/>
      <c r="QWV10" s="34"/>
      <c r="QWW10" s="34"/>
      <c r="QWX10" s="34"/>
      <c r="QWY10" s="34"/>
      <c r="QWZ10" s="34"/>
      <c r="QXA10" s="34"/>
      <c r="QXB10" s="34"/>
      <c r="QXC10" s="34"/>
      <c r="QXD10" s="34"/>
      <c r="QXE10" s="34"/>
      <c r="QXF10" s="34"/>
      <c r="QXG10" s="34"/>
      <c r="QXH10" s="34"/>
      <c r="QXI10" s="34"/>
      <c r="QXJ10" s="34"/>
      <c r="QXK10" s="34"/>
      <c r="QXL10" s="34"/>
      <c r="QXM10" s="34"/>
      <c r="QXN10" s="34"/>
      <c r="QXO10" s="34"/>
      <c r="QXP10" s="34"/>
      <c r="QXQ10" s="34"/>
      <c r="QXR10" s="34"/>
      <c r="QXS10" s="34"/>
      <c r="QXT10" s="34"/>
      <c r="QXU10" s="34"/>
      <c r="QXV10" s="34"/>
      <c r="QXW10" s="34"/>
      <c r="QXX10" s="34"/>
      <c r="QXY10" s="34"/>
      <c r="QXZ10" s="34"/>
      <c r="QYA10" s="34"/>
      <c r="QYB10" s="34"/>
      <c r="QYC10" s="34"/>
      <c r="QYD10" s="34"/>
      <c r="QYE10" s="34"/>
      <c r="QYF10" s="34"/>
      <c r="QYG10" s="34"/>
      <c r="QYH10" s="34"/>
      <c r="QYI10" s="34"/>
      <c r="QYJ10" s="34"/>
      <c r="QYK10" s="34"/>
      <c r="QYL10" s="34"/>
      <c r="QYM10" s="34"/>
      <c r="QYN10" s="34"/>
      <c r="QYO10" s="34"/>
      <c r="QYP10" s="34"/>
      <c r="QYQ10" s="34"/>
      <c r="QYR10" s="34"/>
      <c r="QYS10" s="34"/>
      <c r="QYT10" s="34"/>
      <c r="QYU10" s="34"/>
      <c r="QYV10" s="34"/>
      <c r="QYW10" s="34"/>
      <c r="QYX10" s="34"/>
      <c r="QYY10" s="34"/>
      <c r="QYZ10" s="34"/>
      <c r="QZA10" s="34"/>
      <c r="QZB10" s="34"/>
      <c r="QZC10" s="34"/>
      <c r="QZD10" s="34"/>
      <c r="QZE10" s="34"/>
      <c r="QZF10" s="34"/>
      <c r="QZG10" s="34"/>
      <c r="QZH10" s="34"/>
      <c r="QZI10" s="34"/>
      <c r="QZJ10" s="34"/>
      <c r="QZK10" s="34"/>
      <c r="QZL10" s="34"/>
      <c r="QZM10" s="34"/>
      <c r="QZN10" s="34"/>
      <c r="QZO10" s="34"/>
      <c r="QZP10" s="34"/>
      <c r="QZQ10" s="34"/>
      <c r="QZR10" s="34"/>
      <c r="QZS10" s="34"/>
      <c r="QZT10" s="34"/>
      <c r="QZU10" s="34"/>
      <c r="QZV10" s="34"/>
      <c r="QZW10" s="34"/>
      <c r="QZX10" s="34"/>
      <c r="QZY10" s="34"/>
      <c r="QZZ10" s="34"/>
      <c r="RAA10" s="34"/>
      <c r="RAB10" s="34"/>
      <c r="RAC10" s="34"/>
      <c r="RAD10" s="34"/>
      <c r="RAE10" s="34"/>
      <c r="RAF10" s="34"/>
      <c r="RAG10" s="34"/>
      <c r="RAH10" s="34"/>
      <c r="RAI10" s="34"/>
      <c r="RAJ10" s="34"/>
      <c r="RAK10" s="34"/>
      <c r="RAL10" s="34"/>
      <c r="RAM10" s="34"/>
      <c r="RAN10" s="34"/>
      <c r="RAO10" s="34"/>
      <c r="RAP10" s="34"/>
      <c r="RAQ10" s="34"/>
      <c r="RAR10" s="34"/>
      <c r="RAS10" s="34"/>
      <c r="RAT10" s="34"/>
      <c r="RAU10" s="34"/>
      <c r="RAV10" s="34"/>
      <c r="RAW10" s="34"/>
      <c r="RAX10" s="34"/>
      <c r="RAY10" s="34"/>
      <c r="RAZ10" s="34"/>
      <c r="RBA10" s="34"/>
      <c r="RBB10" s="34"/>
      <c r="RBC10" s="34"/>
      <c r="RBD10" s="34"/>
      <c r="RBE10" s="34"/>
      <c r="RBF10" s="34"/>
      <c r="RBG10" s="34"/>
      <c r="RBH10" s="34"/>
      <c r="RBI10" s="34"/>
      <c r="RBJ10" s="34"/>
      <c r="RBK10" s="34"/>
      <c r="RBL10" s="34"/>
      <c r="RBM10" s="34"/>
      <c r="RBN10" s="34"/>
      <c r="RBO10" s="34"/>
      <c r="RBP10" s="34"/>
      <c r="RBQ10" s="34"/>
      <c r="RBR10" s="34"/>
      <c r="RBS10" s="34"/>
      <c r="RBT10" s="34"/>
      <c r="RBU10" s="34"/>
      <c r="RBV10" s="34"/>
      <c r="RBW10" s="34"/>
      <c r="RBX10" s="34"/>
      <c r="RBY10" s="34"/>
      <c r="RBZ10" s="34"/>
      <c r="RCA10" s="34"/>
      <c r="RCB10" s="34"/>
      <c r="RCC10" s="34"/>
      <c r="RCD10" s="34"/>
      <c r="RCE10" s="34"/>
      <c r="RCF10" s="34"/>
      <c r="RCG10" s="34"/>
      <c r="RCH10" s="34"/>
      <c r="RCI10" s="34"/>
      <c r="RCJ10" s="34"/>
      <c r="RCK10" s="34"/>
      <c r="RCL10" s="34"/>
      <c r="RCM10" s="34"/>
      <c r="RCN10" s="34"/>
      <c r="RCO10" s="34"/>
      <c r="RCP10" s="34"/>
      <c r="RCQ10" s="34"/>
      <c r="RCR10" s="34"/>
      <c r="RCS10" s="34"/>
      <c r="RCT10" s="34"/>
      <c r="RCU10" s="34"/>
      <c r="RCV10" s="34"/>
      <c r="RCW10" s="34"/>
      <c r="RCX10" s="34"/>
      <c r="RCY10" s="34"/>
      <c r="RCZ10" s="34"/>
      <c r="RDA10" s="34"/>
      <c r="RDB10" s="34"/>
      <c r="RDC10" s="34"/>
      <c r="RDD10" s="34"/>
      <c r="RDE10" s="34"/>
      <c r="RDF10" s="34"/>
      <c r="RDG10" s="34"/>
      <c r="RDH10" s="34"/>
      <c r="RDI10" s="34"/>
      <c r="RDJ10" s="34"/>
      <c r="RDK10" s="34"/>
      <c r="RDL10" s="34"/>
      <c r="RDM10" s="34"/>
      <c r="RDN10" s="34"/>
      <c r="RDO10" s="34"/>
      <c r="RDP10" s="34"/>
      <c r="RDQ10" s="34"/>
      <c r="RDR10" s="34"/>
      <c r="RDS10" s="34"/>
      <c r="RDT10" s="34"/>
      <c r="RDU10" s="34"/>
      <c r="RDV10" s="34"/>
      <c r="RDW10" s="34"/>
      <c r="RDX10" s="34"/>
      <c r="RDY10" s="34"/>
      <c r="RDZ10" s="34"/>
      <c r="REA10" s="34"/>
      <c r="REB10" s="34"/>
      <c r="REC10" s="34"/>
      <c r="RED10" s="34"/>
      <c r="REE10" s="34"/>
      <c r="REF10" s="34"/>
      <c r="REG10" s="34"/>
      <c r="REH10" s="34"/>
      <c r="REI10" s="34"/>
      <c r="REJ10" s="34"/>
      <c r="REK10" s="34"/>
      <c r="REL10" s="34"/>
      <c r="REM10" s="34"/>
      <c r="REN10" s="34"/>
      <c r="REO10" s="34"/>
      <c r="REP10" s="34"/>
      <c r="REQ10" s="34"/>
      <c r="RER10" s="34"/>
      <c r="RES10" s="34"/>
      <c r="RET10" s="34"/>
      <c r="REU10" s="34"/>
      <c r="REV10" s="34"/>
      <c r="REW10" s="34"/>
      <c r="REX10" s="34"/>
      <c r="REY10" s="34"/>
      <c r="REZ10" s="34"/>
      <c r="RFA10" s="34"/>
      <c r="RFB10" s="34"/>
      <c r="RFC10" s="34"/>
      <c r="RFD10" s="34"/>
      <c r="RFE10" s="34"/>
      <c r="RFF10" s="34"/>
      <c r="RFG10" s="34"/>
      <c r="RFH10" s="34"/>
      <c r="RFI10" s="34"/>
      <c r="RFJ10" s="34"/>
      <c r="RFK10" s="34"/>
      <c r="RFL10" s="34"/>
      <c r="RFM10" s="34"/>
      <c r="RFN10" s="34"/>
      <c r="RFO10" s="34"/>
      <c r="RFP10" s="34"/>
      <c r="RFQ10" s="34"/>
      <c r="RFR10" s="34"/>
      <c r="RFS10" s="34"/>
      <c r="RFT10" s="34"/>
      <c r="RFU10" s="34"/>
      <c r="RFV10" s="34"/>
      <c r="RFW10" s="34"/>
      <c r="RFX10" s="34"/>
      <c r="RFY10" s="34"/>
      <c r="RFZ10" s="34"/>
      <c r="RGA10" s="34"/>
      <c r="RGB10" s="34"/>
      <c r="RGC10" s="34"/>
      <c r="RGD10" s="34"/>
      <c r="RGE10" s="34"/>
      <c r="RGF10" s="34"/>
      <c r="RGG10" s="34"/>
      <c r="RGH10" s="34"/>
      <c r="RGI10" s="34"/>
      <c r="RGJ10" s="34"/>
      <c r="RGK10" s="34"/>
      <c r="RGL10" s="34"/>
      <c r="RGM10" s="34"/>
      <c r="RGN10" s="34"/>
      <c r="RGO10" s="34"/>
      <c r="RGP10" s="34"/>
      <c r="RGQ10" s="34"/>
      <c r="RGR10" s="34"/>
      <c r="RGS10" s="34"/>
      <c r="RGT10" s="34"/>
      <c r="RGU10" s="34"/>
      <c r="RGV10" s="34"/>
      <c r="RGW10" s="34"/>
      <c r="RGX10" s="34"/>
      <c r="RGY10" s="34"/>
      <c r="RGZ10" s="34"/>
      <c r="RHA10" s="34"/>
      <c r="RHB10" s="34"/>
      <c r="RHC10" s="34"/>
      <c r="RHD10" s="34"/>
      <c r="RHE10" s="34"/>
      <c r="RHF10" s="34"/>
      <c r="RHG10" s="34"/>
      <c r="RHH10" s="34"/>
      <c r="RHI10" s="34"/>
      <c r="RHJ10" s="34"/>
      <c r="RHK10" s="34"/>
      <c r="RHL10" s="34"/>
      <c r="RHM10" s="34"/>
      <c r="RHN10" s="34"/>
      <c r="RHO10" s="34"/>
      <c r="RHP10" s="34"/>
      <c r="RHQ10" s="34"/>
      <c r="RHR10" s="34"/>
      <c r="RHS10" s="34"/>
      <c r="RHT10" s="34"/>
      <c r="RHU10" s="34"/>
      <c r="RHV10" s="34"/>
      <c r="RHW10" s="34"/>
      <c r="RHX10" s="34"/>
      <c r="RHY10" s="34"/>
      <c r="RHZ10" s="34"/>
      <c r="RIA10" s="34"/>
      <c r="RIB10" s="34"/>
      <c r="RIC10" s="34"/>
      <c r="RID10" s="34"/>
      <c r="RIE10" s="34"/>
      <c r="RIF10" s="34"/>
      <c r="RIG10" s="34"/>
      <c r="RIH10" s="34"/>
      <c r="RII10" s="34"/>
      <c r="RIJ10" s="34"/>
      <c r="RIK10" s="34"/>
      <c r="RIL10" s="34"/>
      <c r="RIM10" s="34"/>
      <c r="RIN10" s="34"/>
      <c r="RIO10" s="34"/>
      <c r="RIP10" s="34"/>
      <c r="RIQ10" s="34"/>
      <c r="RIR10" s="34"/>
      <c r="RIS10" s="34"/>
      <c r="RIT10" s="34"/>
      <c r="RIU10" s="34"/>
      <c r="RIV10" s="34"/>
      <c r="RIW10" s="34"/>
      <c r="RIX10" s="34"/>
      <c r="RIY10" s="34"/>
      <c r="RIZ10" s="34"/>
      <c r="RJA10" s="34"/>
      <c r="RJB10" s="34"/>
      <c r="RJC10" s="34"/>
      <c r="RJD10" s="34"/>
      <c r="RJE10" s="34"/>
      <c r="RJF10" s="34"/>
      <c r="RJG10" s="34"/>
      <c r="RJH10" s="34"/>
      <c r="RJI10" s="34"/>
      <c r="RJJ10" s="34"/>
      <c r="RJK10" s="34"/>
      <c r="RJL10" s="34"/>
      <c r="RJM10" s="34"/>
      <c r="RJN10" s="34"/>
      <c r="RJO10" s="34"/>
      <c r="RJP10" s="34"/>
      <c r="RJQ10" s="34"/>
      <c r="RJR10" s="34"/>
      <c r="RJS10" s="34"/>
      <c r="RJT10" s="34"/>
      <c r="RJU10" s="34"/>
      <c r="RJV10" s="34"/>
      <c r="RJW10" s="34"/>
      <c r="RJX10" s="34"/>
      <c r="RJY10" s="34"/>
      <c r="RJZ10" s="34"/>
      <c r="RKA10" s="34"/>
      <c r="RKB10" s="34"/>
      <c r="RKC10" s="34"/>
      <c r="RKD10" s="34"/>
      <c r="RKE10" s="34"/>
      <c r="RKF10" s="34"/>
      <c r="RKG10" s="34"/>
      <c r="RKH10" s="34"/>
      <c r="RKI10" s="34"/>
      <c r="RKJ10" s="34"/>
      <c r="RKK10" s="34"/>
      <c r="RKL10" s="34"/>
      <c r="RKM10" s="34"/>
      <c r="RKN10" s="34"/>
      <c r="RKO10" s="34"/>
      <c r="RKP10" s="34"/>
      <c r="RKQ10" s="34"/>
      <c r="RKR10" s="34"/>
      <c r="RKS10" s="34"/>
      <c r="RKT10" s="34"/>
      <c r="RKU10" s="34"/>
      <c r="RKV10" s="34"/>
      <c r="RKW10" s="34"/>
      <c r="RKX10" s="34"/>
      <c r="RKY10" s="34"/>
      <c r="RKZ10" s="34"/>
      <c r="RLA10" s="34"/>
      <c r="RLB10" s="34"/>
      <c r="RLC10" s="34"/>
      <c r="RLD10" s="34"/>
      <c r="RLE10" s="34"/>
      <c r="RLF10" s="34"/>
      <c r="RLG10" s="34"/>
      <c r="RLH10" s="34"/>
      <c r="RLI10" s="34"/>
      <c r="RLJ10" s="34"/>
      <c r="RLK10" s="34"/>
      <c r="RLL10" s="34"/>
      <c r="RLM10" s="34"/>
      <c r="RLN10" s="34"/>
      <c r="RLO10" s="34"/>
      <c r="RLP10" s="34"/>
      <c r="RLQ10" s="34"/>
      <c r="RLR10" s="34"/>
      <c r="RLS10" s="34"/>
      <c r="RLT10" s="34"/>
      <c r="RLU10" s="34"/>
      <c r="RLV10" s="34"/>
      <c r="RLW10" s="34"/>
      <c r="RLX10" s="34"/>
      <c r="RLY10" s="34"/>
      <c r="RLZ10" s="34"/>
      <c r="RMA10" s="34"/>
      <c r="RMB10" s="34"/>
      <c r="RMC10" s="34"/>
      <c r="RMD10" s="34"/>
      <c r="RME10" s="34"/>
      <c r="RMF10" s="34"/>
      <c r="RMG10" s="34"/>
      <c r="RMH10" s="34"/>
      <c r="RMI10" s="34"/>
      <c r="RMJ10" s="34"/>
      <c r="RMK10" s="34"/>
      <c r="RML10" s="34"/>
      <c r="RMM10" s="34"/>
      <c r="RMN10" s="34"/>
      <c r="RMO10" s="34"/>
      <c r="RMP10" s="34"/>
      <c r="RMQ10" s="34"/>
      <c r="RMR10" s="34"/>
      <c r="RMS10" s="34"/>
      <c r="RMT10" s="34"/>
      <c r="RMU10" s="34"/>
      <c r="RMV10" s="34"/>
      <c r="RMW10" s="34"/>
      <c r="RMX10" s="34"/>
      <c r="RMY10" s="34"/>
      <c r="RMZ10" s="34"/>
      <c r="RNA10" s="34"/>
      <c r="RNB10" s="34"/>
      <c r="RNC10" s="34"/>
      <c r="RND10" s="34"/>
      <c r="RNE10" s="34"/>
      <c r="RNF10" s="34"/>
      <c r="RNG10" s="34"/>
      <c r="RNH10" s="34"/>
      <c r="RNI10" s="34"/>
      <c r="RNJ10" s="34"/>
      <c r="RNK10" s="34"/>
      <c r="RNL10" s="34"/>
      <c r="RNM10" s="34"/>
      <c r="RNN10" s="34"/>
      <c r="RNO10" s="34"/>
      <c r="RNP10" s="34"/>
      <c r="RNQ10" s="34"/>
      <c r="RNR10" s="34"/>
      <c r="RNS10" s="34"/>
      <c r="RNT10" s="34"/>
      <c r="RNU10" s="34"/>
      <c r="RNV10" s="34"/>
      <c r="RNW10" s="34"/>
      <c r="RNX10" s="34"/>
      <c r="RNY10" s="34"/>
      <c r="RNZ10" s="34"/>
      <c r="ROA10" s="34"/>
      <c r="ROB10" s="34"/>
      <c r="ROC10" s="34"/>
      <c r="ROD10" s="34"/>
      <c r="ROE10" s="34"/>
      <c r="ROF10" s="34"/>
      <c r="ROG10" s="34"/>
      <c r="ROH10" s="34"/>
      <c r="ROI10" s="34"/>
      <c r="ROJ10" s="34"/>
      <c r="ROK10" s="34"/>
      <c r="ROL10" s="34"/>
      <c r="ROM10" s="34"/>
      <c r="RON10" s="34"/>
      <c r="ROO10" s="34"/>
      <c r="ROP10" s="34"/>
      <c r="ROQ10" s="34"/>
      <c r="ROR10" s="34"/>
      <c r="ROS10" s="34"/>
      <c r="ROT10" s="34"/>
      <c r="ROU10" s="34"/>
      <c r="ROV10" s="34"/>
      <c r="ROW10" s="34"/>
      <c r="ROX10" s="34"/>
      <c r="ROY10" s="34"/>
      <c r="ROZ10" s="34"/>
      <c r="RPA10" s="34"/>
      <c r="RPB10" s="34"/>
      <c r="RPC10" s="34"/>
      <c r="RPD10" s="34"/>
      <c r="RPE10" s="34"/>
      <c r="RPF10" s="34"/>
      <c r="RPG10" s="34"/>
      <c r="RPH10" s="34"/>
      <c r="RPI10" s="34"/>
      <c r="RPJ10" s="34"/>
      <c r="RPK10" s="34"/>
      <c r="RPL10" s="34"/>
      <c r="RPM10" s="34"/>
      <c r="RPN10" s="34"/>
      <c r="RPO10" s="34"/>
      <c r="RPP10" s="34"/>
      <c r="RPQ10" s="34"/>
      <c r="RPR10" s="34"/>
      <c r="RPS10" s="34"/>
      <c r="RPT10" s="34"/>
      <c r="RPU10" s="34"/>
      <c r="RPV10" s="34"/>
      <c r="RPW10" s="34"/>
      <c r="RPX10" s="34"/>
      <c r="RPY10" s="34"/>
      <c r="RPZ10" s="34"/>
      <c r="RQA10" s="34"/>
      <c r="RQB10" s="34"/>
      <c r="RQC10" s="34"/>
      <c r="RQD10" s="34"/>
      <c r="RQE10" s="34"/>
      <c r="RQF10" s="34"/>
      <c r="RQG10" s="34"/>
      <c r="RQH10" s="34"/>
      <c r="RQI10" s="34"/>
      <c r="RQJ10" s="34"/>
      <c r="RQK10" s="34"/>
      <c r="RQL10" s="34"/>
      <c r="RQM10" s="34"/>
      <c r="RQN10" s="34"/>
      <c r="RQO10" s="34"/>
      <c r="RQP10" s="34"/>
      <c r="RQQ10" s="34"/>
      <c r="RQR10" s="34"/>
      <c r="RQS10" s="34"/>
      <c r="RQT10" s="34"/>
      <c r="RQU10" s="34"/>
      <c r="RQV10" s="34"/>
      <c r="RQW10" s="34"/>
      <c r="RQX10" s="34"/>
      <c r="RQY10" s="34"/>
      <c r="RQZ10" s="34"/>
      <c r="RRA10" s="34"/>
      <c r="RRB10" s="34"/>
      <c r="RRC10" s="34"/>
      <c r="RRD10" s="34"/>
      <c r="RRE10" s="34"/>
      <c r="RRF10" s="34"/>
      <c r="RRG10" s="34"/>
      <c r="RRH10" s="34"/>
      <c r="RRI10" s="34"/>
      <c r="RRJ10" s="34"/>
      <c r="RRK10" s="34"/>
      <c r="RRL10" s="34"/>
      <c r="RRM10" s="34"/>
      <c r="RRN10" s="34"/>
      <c r="RRO10" s="34"/>
      <c r="RRP10" s="34"/>
      <c r="RRQ10" s="34"/>
      <c r="RRR10" s="34"/>
      <c r="RRS10" s="34"/>
      <c r="RRT10" s="34"/>
      <c r="RRU10" s="34"/>
      <c r="RRV10" s="34"/>
      <c r="RRW10" s="34"/>
      <c r="RRX10" s="34"/>
      <c r="RRY10" s="34"/>
      <c r="RRZ10" s="34"/>
      <c r="RSA10" s="34"/>
      <c r="RSB10" s="34"/>
      <c r="RSC10" s="34"/>
      <c r="RSD10" s="34"/>
      <c r="RSE10" s="34"/>
      <c r="RSF10" s="34"/>
      <c r="RSG10" s="34"/>
      <c r="RSH10" s="34"/>
      <c r="RSI10" s="34"/>
      <c r="RSJ10" s="34"/>
      <c r="RSK10" s="34"/>
      <c r="RSL10" s="34"/>
      <c r="RSM10" s="34"/>
      <c r="RSN10" s="34"/>
      <c r="RSO10" s="34"/>
      <c r="RSP10" s="34"/>
      <c r="RSQ10" s="34"/>
      <c r="RSR10" s="34"/>
      <c r="RSS10" s="34"/>
      <c r="RST10" s="34"/>
      <c r="RSU10" s="34"/>
      <c r="RSV10" s="34"/>
      <c r="RSW10" s="34"/>
      <c r="RSX10" s="34"/>
      <c r="RSY10" s="34"/>
      <c r="RSZ10" s="34"/>
      <c r="RTA10" s="34"/>
      <c r="RTB10" s="34"/>
      <c r="RTC10" s="34"/>
      <c r="RTD10" s="34"/>
      <c r="RTE10" s="34"/>
      <c r="RTF10" s="34"/>
      <c r="RTG10" s="34"/>
      <c r="RTH10" s="34"/>
      <c r="RTI10" s="34"/>
      <c r="RTJ10" s="34"/>
      <c r="RTK10" s="34"/>
      <c r="RTL10" s="34"/>
      <c r="RTM10" s="34"/>
      <c r="RTN10" s="34"/>
      <c r="RTO10" s="34"/>
      <c r="RTP10" s="34"/>
      <c r="RTQ10" s="34"/>
      <c r="RTR10" s="34"/>
      <c r="RTS10" s="34"/>
      <c r="RTT10" s="34"/>
      <c r="RTU10" s="34"/>
      <c r="RTV10" s="34"/>
      <c r="RTW10" s="34"/>
      <c r="RTX10" s="34"/>
      <c r="RTY10" s="34"/>
      <c r="RTZ10" s="34"/>
      <c r="RUA10" s="34"/>
      <c r="RUB10" s="34"/>
      <c r="RUC10" s="34"/>
      <c r="RUD10" s="34"/>
      <c r="RUE10" s="34"/>
      <c r="RUF10" s="34"/>
      <c r="RUG10" s="34"/>
      <c r="RUH10" s="34"/>
      <c r="RUI10" s="34"/>
      <c r="RUJ10" s="34"/>
      <c r="RUK10" s="34"/>
      <c r="RUL10" s="34"/>
      <c r="RUM10" s="34"/>
      <c r="RUN10" s="34"/>
      <c r="RUO10" s="34"/>
      <c r="RUP10" s="34"/>
      <c r="RUQ10" s="34"/>
      <c r="RUR10" s="34"/>
      <c r="RUS10" s="34"/>
      <c r="RUT10" s="34"/>
      <c r="RUU10" s="34"/>
      <c r="RUV10" s="34"/>
      <c r="RUW10" s="34"/>
      <c r="RUX10" s="34"/>
      <c r="RUY10" s="34"/>
      <c r="RUZ10" s="34"/>
      <c r="RVA10" s="34"/>
      <c r="RVB10" s="34"/>
      <c r="RVC10" s="34"/>
      <c r="RVD10" s="34"/>
      <c r="RVE10" s="34"/>
      <c r="RVF10" s="34"/>
      <c r="RVG10" s="34"/>
      <c r="RVH10" s="34"/>
      <c r="RVI10" s="34"/>
      <c r="RVJ10" s="34"/>
      <c r="RVK10" s="34"/>
      <c r="RVL10" s="34"/>
      <c r="RVM10" s="34"/>
      <c r="RVN10" s="34"/>
      <c r="RVO10" s="34"/>
      <c r="RVP10" s="34"/>
      <c r="RVQ10" s="34"/>
      <c r="RVR10" s="34"/>
      <c r="RVS10" s="34"/>
      <c r="RVT10" s="34"/>
      <c r="RVU10" s="34"/>
      <c r="RVV10" s="34"/>
      <c r="RVW10" s="34"/>
      <c r="RVX10" s="34"/>
      <c r="RVY10" s="34"/>
      <c r="RVZ10" s="34"/>
      <c r="RWA10" s="34"/>
      <c r="RWB10" s="34"/>
      <c r="RWC10" s="34"/>
      <c r="RWD10" s="34"/>
      <c r="RWE10" s="34"/>
      <c r="RWF10" s="34"/>
      <c r="RWG10" s="34"/>
      <c r="RWH10" s="34"/>
      <c r="RWI10" s="34"/>
      <c r="RWJ10" s="34"/>
      <c r="RWK10" s="34"/>
      <c r="RWL10" s="34"/>
      <c r="RWM10" s="34"/>
      <c r="RWN10" s="34"/>
      <c r="RWO10" s="34"/>
      <c r="RWP10" s="34"/>
      <c r="RWQ10" s="34"/>
      <c r="RWR10" s="34"/>
      <c r="RWS10" s="34"/>
      <c r="RWT10" s="34"/>
      <c r="RWU10" s="34"/>
      <c r="RWV10" s="34"/>
      <c r="RWW10" s="34"/>
      <c r="RWX10" s="34"/>
      <c r="RWY10" s="34"/>
      <c r="RWZ10" s="34"/>
      <c r="RXA10" s="34"/>
      <c r="RXB10" s="34"/>
      <c r="RXC10" s="34"/>
      <c r="RXD10" s="34"/>
      <c r="RXE10" s="34"/>
      <c r="RXF10" s="34"/>
      <c r="RXG10" s="34"/>
      <c r="RXH10" s="34"/>
      <c r="RXI10" s="34"/>
      <c r="RXJ10" s="34"/>
      <c r="RXK10" s="34"/>
      <c r="RXL10" s="34"/>
      <c r="RXM10" s="34"/>
      <c r="RXN10" s="34"/>
      <c r="RXO10" s="34"/>
      <c r="RXP10" s="34"/>
      <c r="RXQ10" s="34"/>
      <c r="RXR10" s="34"/>
      <c r="RXS10" s="34"/>
      <c r="RXT10" s="34"/>
      <c r="RXU10" s="34"/>
      <c r="RXV10" s="34"/>
      <c r="RXW10" s="34"/>
      <c r="RXX10" s="34"/>
      <c r="RXY10" s="34"/>
      <c r="RXZ10" s="34"/>
      <c r="RYA10" s="34"/>
      <c r="RYB10" s="34"/>
      <c r="RYC10" s="34"/>
      <c r="RYD10" s="34"/>
      <c r="RYE10" s="34"/>
      <c r="RYF10" s="34"/>
      <c r="RYG10" s="34"/>
      <c r="RYH10" s="34"/>
      <c r="RYI10" s="34"/>
      <c r="RYJ10" s="34"/>
      <c r="RYK10" s="34"/>
      <c r="RYL10" s="34"/>
      <c r="RYM10" s="34"/>
      <c r="RYN10" s="34"/>
      <c r="RYO10" s="34"/>
      <c r="RYP10" s="34"/>
      <c r="RYQ10" s="34"/>
      <c r="RYR10" s="34"/>
      <c r="RYS10" s="34"/>
      <c r="RYT10" s="34"/>
      <c r="RYU10" s="34"/>
      <c r="RYV10" s="34"/>
      <c r="RYW10" s="34"/>
      <c r="RYX10" s="34"/>
      <c r="RYY10" s="34"/>
      <c r="RYZ10" s="34"/>
      <c r="RZA10" s="34"/>
      <c r="RZB10" s="34"/>
      <c r="RZC10" s="34"/>
      <c r="RZD10" s="34"/>
      <c r="RZE10" s="34"/>
      <c r="RZF10" s="34"/>
      <c r="RZG10" s="34"/>
      <c r="RZH10" s="34"/>
      <c r="RZI10" s="34"/>
      <c r="RZJ10" s="34"/>
      <c r="RZK10" s="34"/>
      <c r="RZL10" s="34"/>
      <c r="RZM10" s="34"/>
      <c r="RZN10" s="34"/>
      <c r="RZO10" s="34"/>
      <c r="RZP10" s="34"/>
      <c r="RZQ10" s="34"/>
      <c r="RZR10" s="34"/>
      <c r="RZS10" s="34"/>
      <c r="RZT10" s="34"/>
      <c r="RZU10" s="34"/>
      <c r="RZV10" s="34"/>
      <c r="RZW10" s="34"/>
      <c r="RZX10" s="34"/>
      <c r="RZY10" s="34"/>
      <c r="RZZ10" s="34"/>
      <c r="SAA10" s="34"/>
      <c r="SAB10" s="34"/>
      <c r="SAC10" s="34"/>
      <c r="SAD10" s="34"/>
      <c r="SAE10" s="34"/>
      <c r="SAF10" s="34"/>
      <c r="SAG10" s="34"/>
      <c r="SAH10" s="34"/>
      <c r="SAI10" s="34"/>
      <c r="SAJ10" s="34"/>
      <c r="SAK10" s="34"/>
      <c r="SAL10" s="34"/>
      <c r="SAM10" s="34"/>
      <c r="SAN10" s="34"/>
      <c r="SAO10" s="34"/>
      <c r="SAP10" s="34"/>
      <c r="SAQ10" s="34"/>
      <c r="SAR10" s="34"/>
      <c r="SAS10" s="34"/>
      <c r="SAT10" s="34"/>
      <c r="SAU10" s="34"/>
      <c r="SAV10" s="34"/>
      <c r="SAW10" s="34"/>
      <c r="SAX10" s="34"/>
      <c r="SAY10" s="34"/>
      <c r="SAZ10" s="34"/>
      <c r="SBA10" s="34"/>
      <c r="SBB10" s="34"/>
      <c r="SBC10" s="34"/>
      <c r="SBD10" s="34"/>
      <c r="SBE10" s="34"/>
      <c r="SBF10" s="34"/>
      <c r="SBG10" s="34"/>
      <c r="SBH10" s="34"/>
      <c r="SBI10" s="34"/>
      <c r="SBJ10" s="34"/>
      <c r="SBK10" s="34"/>
      <c r="SBL10" s="34"/>
      <c r="SBM10" s="34"/>
      <c r="SBN10" s="34"/>
      <c r="SBO10" s="34"/>
      <c r="SBP10" s="34"/>
      <c r="SBQ10" s="34"/>
      <c r="SBR10" s="34"/>
      <c r="SBS10" s="34"/>
      <c r="SBT10" s="34"/>
      <c r="SBU10" s="34"/>
      <c r="SBV10" s="34"/>
      <c r="SBW10" s="34"/>
      <c r="SBX10" s="34"/>
      <c r="SBY10" s="34"/>
      <c r="SBZ10" s="34"/>
      <c r="SCA10" s="34"/>
      <c r="SCB10" s="34"/>
      <c r="SCC10" s="34"/>
      <c r="SCD10" s="34"/>
      <c r="SCE10" s="34"/>
      <c r="SCF10" s="34"/>
      <c r="SCG10" s="34"/>
      <c r="SCH10" s="34"/>
      <c r="SCI10" s="34"/>
      <c r="SCJ10" s="34"/>
      <c r="SCK10" s="34"/>
      <c r="SCL10" s="34"/>
      <c r="SCM10" s="34"/>
      <c r="SCN10" s="34"/>
      <c r="SCO10" s="34"/>
      <c r="SCP10" s="34"/>
      <c r="SCQ10" s="34"/>
      <c r="SCR10" s="34"/>
      <c r="SCS10" s="34"/>
      <c r="SCT10" s="34"/>
      <c r="SCU10" s="34"/>
      <c r="SCV10" s="34"/>
      <c r="SCW10" s="34"/>
      <c r="SCX10" s="34"/>
      <c r="SCY10" s="34"/>
      <c r="SCZ10" s="34"/>
      <c r="SDA10" s="34"/>
      <c r="SDB10" s="34"/>
      <c r="SDC10" s="34"/>
      <c r="SDD10" s="34"/>
      <c r="SDE10" s="34"/>
      <c r="SDF10" s="34"/>
      <c r="SDG10" s="34"/>
      <c r="SDH10" s="34"/>
      <c r="SDI10" s="34"/>
      <c r="SDJ10" s="34"/>
      <c r="SDK10" s="34"/>
      <c r="SDL10" s="34"/>
      <c r="SDM10" s="34"/>
      <c r="SDN10" s="34"/>
      <c r="SDO10" s="34"/>
      <c r="SDP10" s="34"/>
      <c r="SDQ10" s="34"/>
      <c r="SDR10" s="34"/>
      <c r="SDS10" s="34"/>
      <c r="SDT10" s="34"/>
      <c r="SDU10" s="34"/>
      <c r="SDV10" s="34"/>
      <c r="SDW10" s="34"/>
      <c r="SDX10" s="34"/>
      <c r="SDY10" s="34"/>
      <c r="SDZ10" s="34"/>
      <c r="SEA10" s="34"/>
      <c r="SEB10" s="34"/>
      <c r="SEC10" s="34"/>
      <c r="SED10" s="34"/>
      <c r="SEE10" s="34"/>
      <c r="SEF10" s="34"/>
      <c r="SEG10" s="34"/>
      <c r="SEH10" s="34"/>
      <c r="SEI10" s="34"/>
      <c r="SEJ10" s="34"/>
      <c r="SEK10" s="34"/>
      <c r="SEL10" s="34"/>
      <c r="SEM10" s="34"/>
      <c r="SEN10" s="34"/>
      <c r="SEO10" s="34"/>
      <c r="SEP10" s="34"/>
      <c r="SEQ10" s="34"/>
      <c r="SER10" s="34"/>
      <c r="SES10" s="34"/>
      <c r="SET10" s="34"/>
      <c r="SEU10" s="34"/>
      <c r="SEV10" s="34"/>
      <c r="SEW10" s="34"/>
      <c r="SEX10" s="34"/>
      <c r="SEY10" s="34"/>
      <c r="SEZ10" s="34"/>
      <c r="SFA10" s="34"/>
      <c r="SFB10" s="34"/>
      <c r="SFC10" s="34"/>
      <c r="SFD10" s="34"/>
      <c r="SFE10" s="34"/>
      <c r="SFF10" s="34"/>
      <c r="SFG10" s="34"/>
      <c r="SFH10" s="34"/>
      <c r="SFI10" s="34"/>
      <c r="SFJ10" s="34"/>
      <c r="SFK10" s="34"/>
      <c r="SFL10" s="34"/>
      <c r="SFM10" s="34"/>
      <c r="SFN10" s="34"/>
      <c r="SFO10" s="34"/>
      <c r="SFP10" s="34"/>
      <c r="SFQ10" s="34"/>
      <c r="SFR10" s="34"/>
      <c r="SFS10" s="34"/>
      <c r="SFT10" s="34"/>
      <c r="SFU10" s="34"/>
      <c r="SFV10" s="34"/>
      <c r="SFW10" s="34"/>
      <c r="SFX10" s="34"/>
      <c r="SFY10" s="34"/>
      <c r="SFZ10" s="34"/>
      <c r="SGA10" s="34"/>
      <c r="SGB10" s="34"/>
      <c r="SGC10" s="34"/>
      <c r="SGD10" s="34"/>
      <c r="SGE10" s="34"/>
      <c r="SGF10" s="34"/>
      <c r="SGG10" s="34"/>
      <c r="SGH10" s="34"/>
      <c r="SGI10" s="34"/>
      <c r="SGJ10" s="34"/>
      <c r="SGK10" s="34"/>
      <c r="SGL10" s="34"/>
      <c r="SGM10" s="34"/>
      <c r="SGN10" s="34"/>
      <c r="SGO10" s="34"/>
      <c r="SGP10" s="34"/>
      <c r="SGQ10" s="34"/>
      <c r="SGR10" s="34"/>
      <c r="SGS10" s="34"/>
      <c r="SGT10" s="34"/>
      <c r="SGU10" s="34"/>
      <c r="SGV10" s="34"/>
      <c r="SGW10" s="34"/>
      <c r="SGX10" s="34"/>
      <c r="SGY10" s="34"/>
      <c r="SGZ10" s="34"/>
      <c r="SHA10" s="34"/>
      <c r="SHB10" s="34"/>
      <c r="SHC10" s="34"/>
      <c r="SHD10" s="34"/>
      <c r="SHE10" s="34"/>
      <c r="SHF10" s="34"/>
      <c r="SHG10" s="34"/>
      <c r="SHH10" s="34"/>
      <c r="SHI10" s="34"/>
      <c r="SHJ10" s="34"/>
      <c r="SHK10" s="34"/>
      <c r="SHL10" s="34"/>
      <c r="SHM10" s="34"/>
      <c r="SHN10" s="34"/>
      <c r="SHO10" s="34"/>
      <c r="SHP10" s="34"/>
      <c r="SHQ10" s="34"/>
      <c r="SHR10" s="34"/>
      <c r="SHS10" s="34"/>
      <c r="SHT10" s="34"/>
      <c r="SHU10" s="34"/>
      <c r="SHV10" s="34"/>
      <c r="SHW10" s="34"/>
      <c r="SHX10" s="34"/>
      <c r="SHY10" s="34"/>
      <c r="SHZ10" s="34"/>
      <c r="SIA10" s="34"/>
      <c r="SIB10" s="34"/>
      <c r="SIC10" s="34"/>
      <c r="SID10" s="34"/>
      <c r="SIE10" s="34"/>
      <c r="SIF10" s="34"/>
      <c r="SIG10" s="34"/>
      <c r="SIH10" s="34"/>
      <c r="SII10" s="34"/>
      <c r="SIJ10" s="34"/>
      <c r="SIK10" s="34"/>
      <c r="SIL10" s="34"/>
      <c r="SIM10" s="34"/>
      <c r="SIN10" s="34"/>
      <c r="SIO10" s="34"/>
      <c r="SIP10" s="34"/>
      <c r="SIQ10" s="34"/>
      <c r="SIR10" s="34"/>
      <c r="SIS10" s="34"/>
      <c r="SIT10" s="34"/>
      <c r="SIU10" s="34"/>
      <c r="SIV10" s="34"/>
      <c r="SIW10" s="34"/>
      <c r="SIX10" s="34"/>
      <c r="SIY10" s="34"/>
      <c r="SIZ10" s="34"/>
      <c r="SJA10" s="34"/>
      <c r="SJB10" s="34"/>
      <c r="SJC10" s="34"/>
      <c r="SJD10" s="34"/>
      <c r="SJE10" s="34"/>
      <c r="SJF10" s="34"/>
      <c r="SJG10" s="34"/>
      <c r="SJH10" s="34"/>
      <c r="SJI10" s="34"/>
      <c r="SJJ10" s="34"/>
      <c r="SJK10" s="34"/>
      <c r="SJL10" s="34"/>
      <c r="SJM10" s="34"/>
      <c r="SJN10" s="34"/>
      <c r="SJO10" s="34"/>
      <c r="SJP10" s="34"/>
      <c r="SJQ10" s="34"/>
      <c r="SJR10" s="34"/>
      <c r="SJS10" s="34"/>
      <c r="SJT10" s="34"/>
      <c r="SJU10" s="34"/>
      <c r="SJV10" s="34"/>
      <c r="SJW10" s="34"/>
      <c r="SJX10" s="34"/>
      <c r="SJY10" s="34"/>
      <c r="SJZ10" s="34"/>
      <c r="SKA10" s="34"/>
      <c r="SKB10" s="34"/>
      <c r="SKC10" s="34"/>
      <c r="SKD10" s="34"/>
      <c r="SKE10" s="34"/>
      <c r="SKF10" s="34"/>
      <c r="SKG10" s="34"/>
      <c r="SKH10" s="34"/>
      <c r="SKI10" s="34"/>
      <c r="SKJ10" s="34"/>
      <c r="SKK10" s="34"/>
      <c r="SKL10" s="34"/>
      <c r="SKM10" s="34"/>
      <c r="SKN10" s="34"/>
      <c r="SKO10" s="34"/>
      <c r="SKP10" s="34"/>
      <c r="SKQ10" s="34"/>
      <c r="SKR10" s="34"/>
      <c r="SKS10" s="34"/>
      <c r="SKT10" s="34"/>
      <c r="SKU10" s="34"/>
      <c r="SKV10" s="34"/>
      <c r="SKW10" s="34"/>
      <c r="SKX10" s="34"/>
      <c r="SKY10" s="34"/>
      <c r="SKZ10" s="34"/>
      <c r="SLA10" s="34"/>
      <c r="SLB10" s="34"/>
      <c r="SLC10" s="34"/>
      <c r="SLD10" s="34"/>
      <c r="SLE10" s="34"/>
      <c r="SLF10" s="34"/>
      <c r="SLG10" s="34"/>
      <c r="SLH10" s="34"/>
      <c r="SLI10" s="34"/>
      <c r="SLJ10" s="34"/>
      <c r="SLK10" s="34"/>
      <c r="SLL10" s="34"/>
      <c r="SLM10" s="34"/>
      <c r="SLN10" s="34"/>
      <c r="SLO10" s="34"/>
      <c r="SLP10" s="34"/>
      <c r="SLQ10" s="34"/>
      <c r="SLR10" s="34"/>
      <c r="SLS10" s="34"/>
      <c r="SLT10" s="34"/>
      <c r="SLU10" s="34"/>
      <c r="SLV10" s="34"/>
      <c r="SLW10" s="34"/>
      <c r="SLX10" s="34"/>
      <c r="SLY10" s="34"/>
      <c r="SLZ10" s="34"/>
      <c r="SMA10" s="34"/>
      <c r="SMB10" s="34"/>
      <c r="SMC10" s="34"/>
      <c r="SMD10" s="34"/>
      <c r="SME10" s="34"/>
      <c r="SMF10" s="34"/>
      <c r="SMG10" s="34"/>
      <c r="SMH10" s="34"/>
      <c r="SMI10" s="34"/>
      <c r="SMJ10" s="34"/>
      <c r="SMK10" s="34"/>
      <c r="SML10" s="34"/>
      <c r="SMM10" s="34"/>
      <c r="SMN10" s="34"/>
      <c r="SMO10" s="34"/>
      <c r="SMP10" s="34"/>
      <c r="SMQ10" s="34"/>
      <c r="SMR10" s="34"/>
      <c r="SMS10" s="34"/>
      <c r="SMT10" s="34"/>
      <c r="SMU10" s="34"/>
      <c r="SMV10" s="34"/>
      <c r="SMW10" s="34"/>
      <c r="SMX10" s="34"/>
      <c r="SMY10" s="34"/>
      <c r="SMZ10" s="34"/>
      <c r="SNA10" s="34"/>
      <c r="SNB10" s="34"/>
      <c r="SNC10" s="34"/>
      <c r="SND10" s="34"/>
      <c r="SNE10" s="34"/>
      <c r="SNF10" s="34"/>
      <c r="SNG10" s="34"/>
      <c r="SNH10" s="34"/>
      <c r="SNI10" s="34"/>
      <c r="SNJ10" s="34"/>
      <c r="SNK10" s="34"/>
      <c r="SNL10" s="34"/>
      <c r="SNM10" s="34"/>
      <c r="SNN10" s="34"/>
      <c r="SNO10" s="34"/>
      <c r="SNP10" s="34"/>
      <c r="SNQ10" s="34"/>
      <c r="SNR10" s="34"/>
      <c r="SNS10" s="34"/>
      <c r="SNT10" s="34"/>
      <c r="SNU10" s="34"/>
      <c r="SNV10" s="34"/>
      <c r="SNW10" s="34"/>
      <c r="SNX10" s="34"/>
      <c r="SNY10" s="34"/>
      <c r="SNZ10" s="34"/>
      <c r="SOA10" s="34"/>
      <c r="SOB10" s="34"/>
      <c r="SOC10" s="34"/>
      <c r="SOD10" s="34"/>
      <c r="SOE10" s="34"/>
      <c r="SOF10" s="34"/>
      <c r="SOG10" s="34"/>
      <c r="SOH10" s="34"/>
      <c r="SOI10" s="34"/>
      <c r="SOJ10" s="34"/>
      <c r="SOK10" s="34"/>
      <c r="SOL10" s="34"/>
      <c r="SOM10" s="34"/>
      <c r="SON10" s="34"/>
      <c r="SOO10" s="34"/>
      <c r="SOP10" s="34"/>
      <c r="SOQ10" s="34"/>
      <c r="SOR10" s="34"/>
      <c r="SOS10" s="34"/>
      <c r="SOT10" s="34"/>
      <c r="SOU10" s="34"/>
      <c r="SOV10" s="34"/>
      <c r="SOW10" s="34"/>
      <c r="SOX10" s="34"/>
      <c r="SOY10" s="34"/>
      <c r="SOZ10" s="34"/>
      <c r="SPA10" s="34"/>
      <c r="SPB10" s="34"/>
      <c r="SPC10" s="34"/>
      <c r="SPD10" s="34"/>
      <c r="SPE10" s="34"/>
      <c r="SPF10" s="34"/>
      <c r="SPG10" s="34"/>
      <c r="SPH10" s="34"/>
      <c r="SPI10" s="34"/>
      <c r="SPJ10" s="34"/>
      <c r="SPK10" s="34"/>
      <c r="SPL10" s="34"/>
      <c r="SPM10" s="34"/>
      <c r="SPN10" s="34"/>
      <c r="SPO10" s="34"/>
      <c r="SPP10" s="34"/>
      <c r="SPQ10" s="34"/>
      <c r="SPR10" s="34"/>
      <c r="SPS10" s="34"/>
      <c r="SPT10" s="34"/>
      <c r="SPU10" s="34"/>
      <c r="SPV10" s="34"/>
      <c r="SPW10" s="34"/>
      <c r="SPX10" s="34"/>
      <c r="SPY10" s="34"/>
      <c r="SPZ10" s="34"/>
      <c r="SQA10" s="34"/>
      <c r="SQB10" s="34"/>
      <c r="SQC10" s="34"/>
      <c r="SQD10" s="34"/>
      <c r="SQE10" s="34"/>
      <c r="SQF10" s="34"/>
      <c r="SQG10" s="34"/>
      <c r="SQH10" s="34"/>
      <c r="SQI10" s="34"/>
      <c r="SQJ10" s="34"/>
      <c r="SQK10" s="34"/>
      <c r="SQL10" s="34"/>
      <c r="SQM10" s="34"/>
      <c r="SQN10" s="34"/>
      <c r="SQO10" s="34"/>
      <c r="SQP10" s="34"/>
      <c r="SQQ10" s="34"/>
      <c r="SQR10" s="34"/>
      <c r="SQS10" s="34"/>
      <c r="SQT10" s="34"/>
      <c r="SQU10" s="34"/>
      <c r="SQV10" s="34"/>
      <c r="SQW10" s="34"/>
      <c r="SQX10" s="34"/>
      <c r="SQY10" s="34"/>
      <c r="SQZ10" s="34"/>
      <c r="SRA10" s="34"/>
      <c r="SRB10" s="34"/>
      <c r="SRC10" s="34"/>
      <c r="SRD10" s="34"/>
      <c r="SRE10" s="34"/>
      <c r="SRF10" s="34"/>
      <c r="SRG10" s="34"/>
      <c r="SRH10" s="34"/>
      <c r="SRI10" s="34"/>
      <c r="SRJ10" s="34"/>
      <c r="SRK10" s="34"/>
      <c r="SRL10" s="34"/>
      <c r="SRM10" s="34"/>
      <c r="SRN10" s="34"/>
      <c r="SRO10" s="34"/>
      <c r="SRP10" s="34"/>
      <c r="SRQ10" s="34"/>
      <c r="SRR10" s="34"/>
      <c r="SRS10" s="34"/>
      <c r="SRT10" s="34"/>
      <c r="SRU10" s="34"/>
      <c r="SRV10" s="34"/>
      <c r="SRW10" s="34"/>
      <c r="SRX10" s="34"/>
      <c r="SRY10" s="34"/>
      <c r="SRZ10" s="34"/>
      <c r="SSA10" s="34"/>
      <c r="SSB10" s="34"/>
      <c r="SSC10" s="34"/>
      <c r="SSD10" s="34"/>
      <c r="SSE10" s="34"/>
      <c r="SSF10" s="34"/>
      <c r="SSG10" s="34"/>
      <c r="SSH10" s="34"/>
      <c r="SSI10" s="34"/>
      <c r="SSJ10" s="34"/>
      <c r="SSK10" s="34"/>
      <c r="SSL10" s="34"/>
      <c r="SSM10" s="34"/>
      <c r="SSN10" s="34"/>
      <c r="SSO10" s="34"/>
      <c r="SSP10" s="34"/>
      <c r="SSQ10" s="34"/>
      <c r="SSR10" s="34"/>
      <c r="SSS10" s="34"/>
      <c r="SST10" s="34"/>
      <c r="SSU10" s="34"/>
      <c r="SSV10" s="34"/>
      <c r="SSW10" s="34"/>
      <c r="SSX10" s="34"/>
      <c r="SSY10" s="34"/>
      <c r="SSZ10" s="34"/>
      <c r="STA10" s="34"/>
      <c r="STB10" s="34"/>
      <c r="STC10" s="34"/>
      <c r="STD10" s="34"/>
      <c r="STE10" s="34"/>
      <c r="STF10" s="34"/>
      <c r="STG10" s="34"/>
      <c r="STH10" s="34"/>
      <c r="STI10" s="34"/>
      <c r="STJ10" s="34"/>
      <c r="STK10" s="34"/>
      <c r="STL10" s="34"/>
      <c r="STM10" s="34"/>
      <c r="STN10" s="34"/>
      <c r="STO10" s="34"/>
      <c r="STP10" s="34"/>
      <c r="STQ10" s="34"/>
      <c r="STR10" s="34"/>
      <c r="STS10" s="34"/>
      <c r="STT10" s="34"/>
      <c r="STU10" s="34"/>
      <c r="STV10" s="34"/>
      <c r="STW10" s="34"/>
      <c r="STX10" s="34"/>
      <c r="STY10" s="34"/>
      <c r="STZ10" s="34"/>
      <c r="SUA10" s="34"/>
      <c r="SUB10" s="34"/>
      <c r="SUC10" s="34"/>
      <c r="SUD10" s="34"/>
      <c r="SUE10" s="34"/>
      <c r="SUF10" s="34"/>
      <c r="SUG10" s="34"/>
      <c r="SUH10" s="34"/>
      <c r="SUI10" s="34"/>
      <c r="SUJ10" s="34"/>
      <c r="SUK10" s="34"/>
      <c r="SUL10" s="34"/>
      <c r="SUM10" s="34"/>
      <c r="SUN10" s="34"/>
      <c r="SUO10" s="34"/>
      <c r="SUP10" s="34"/>
      <c r="SUQ10" s="34"/>
      <c r="SUR10" s="34"/>
      <c r="SUS10" s="34"/>
      <c r="SUT10" s="34"/>
      <c r="SUU10" s="34"/>
      <c r="SUV10" s="34"/>
      <c r="SUW10" s="34"/>
      <c r="SUX10" s="34"/>
      <c r="SUY10" s="34"/>
      <c r="SUZ10" s="34"/>
      <c r="SVA10" s="34"/>
      <c r="SVB10" s="34"/>
      <c r="SVC10" s="34"/>
      <c r="SVD10" s="34"/>
      <c r="SVE10" s="34"/>
      <c r="SVF10" s="34"/>
      <c r="SVG10" s="34"/>
      <c r="SVH10" s="34"/>
      <c r="SVI10" s="34"/>
      <c r="SVJ10" s="34"/>
      <c r="SVK10" s="34"/>
      <c r="SVL10" s="34"/>
      <c r="SVM10" s="34"/>
      <c r="SVN10" s="34"/>
      <c r="SVO10" s="34"/>
      <c r="SVP10" s="34"/>
      <c r="SVQ10" s="34"/>
      <c r="SVR10" s="34"/>
      <c r="SVS10" s="34"/>
      <c r="SVT10" s="34"/>
      <c r="SVU10" s="34"/>
      <c r="SVV10" s="34"/>
      <c r="SVW10" s="34"/>
      <c r="SVX10" s="34"/>
      <c r="SVY10" s="34"/>
      <c r="SVZ10" s="34"/>
      <c r="SWA10" s="34"/>
      <c r="SWB10" s="34"/>
      <c r="SWC10" s="34"/>
      <c r="SWD10" s="34"/>
      <c r="SWE10" s="34"/>
      <c r="SWF10" s="34"/>
      <c r="SWG10" s="34"/>
      <c r="SWH10" s="34"/>
      <c r="SWI10" s="34"/>
      <c r="SWJ10" s="34"/>
      <c r="SWK10" s="34"/>
      <c r="SWL10" s="34"/>
      <c r="SWM10" s="34"/>
      <c r="SWN10" s="34"/>
      <c r="SWO10" s="34"/>
      <c r="SWP10" s="34"/>
      <c r="SWQ10" s="34"/>
      <c r="SWR10" s="34"/>
      <c r="SWS10" s="34"/>
      <c r="SWT10" s="34"/>
      <c r="SWU10" s="34"/>
      <c r="SWV10" s="34"/>
      <c r="SWW10" s="34"/>
      <c r="SWX10" s="34"/>
      <c r="SWY10" s="34"/>
      <c r="SWZ10" s="34"/>
      <c r="SXA10" s="34"/>
      <c r="SXB10" s="34"/>
      <c r="SXC10" s="34"/>
      <c r="SXD10" s="34"/>
      <c r="SXE10" s="34"/>
      <c r="SXF10" s="34"/>
      <c r="SXG10" s="34"/>
      <c r="SXH10" s="34"/>
      <c r="SXI10" s="34"/>
      <c r="SXJ10" s="34"/>
      <c r="SXK10" s="34"/>
      <c r="SXL10" s="34"/>
      <c r="SXM10" s="34"/>
      <c r="SXN10" s="34"/>
      <c r="SXO10" s="34"/>
      <c r="SXP10" s="34"/>
      <c r="SXQ10" s="34"/>
      <c r="SXR10" s="34"/>
      <c r="SXS10" s="34"/>
      <c r="SXT10" s="34"/>
      <c r="SXU10" s="34"/>
      <c r="SXV10" s="34"/>
      <c r="SXW10" s="34"/>
      <c r="SXX10" s="34"/>
      <c r="SXY10" s="34"/>
      <c r="SXZ10" s="34"/>
      <c r="SYA10" s="34"/>
      <c r="SYB10" s="34"/>
      <c r="SYC10" s="34"/>
      <c r="SYD10" s="34"/>
      <c r="SYE10" s="34"/>
      <c r="SYF10" s="34"/>
      <c r="SYG10" s="34"/>
      <c r="SYH10" s="34"/>
      <c r="SYI10" s="34"/>
      <c r="SYJ10" s="34"/>
      <c r="SYK10" s="34"/>
      <c r="SYL10" s="34"/>
      <c r="SYM10" s="34"/>
      <c r="SYN10" s="34"/>
      <c r="SYO10" s="34"/>
      <c r="SYP10" s="34"/>
      <c r="SYQ10" s="34"/>
      <c r="SYR10" s="34"/>
      <c r="SYS10" s="34"/>
      <c r="SYT10" s="34"/>
      <c r="SYU10" s="34"/>
      <c r="SYV10" s="34"/>
      <c r="SYW10" s="34"/>
      <c r="SYX10" s="34"/>
      <c r="SYY10" s="34"/>
      <c r="SYZ10" s="34"/>
      <c r="SZA10" s="34"/>
      <c r="SZB10" s="34"/>
      <c r="SZC10" s="34"/>
      <c r="SZD10" s="34"/>
      <c r="SZE10" s="34"/>
      <c r="SZF10" s="34"/>
      <c r="SZG10" s="34"/>
      <c r="SZH10" s="34"/>
      <c r="SZI10" s="34"/>
      <c r="SZJ10" s="34"/>
      <c r="SZK10" s="34"/>
      <c r="SZL10" s="34"/>
      <c r="SZM10" s="34"/>
      <c r="SZN10" s="34"/>
      <c r="SZO10" s="34"/>
      <c r="SZP10" s="34"/>
      <c r="SZQ10" s="34"/>
      <c r="SZR10" s="34"/>
      <c r="SZS10" s="34"/>
      <c r="SZT10" s="34"/>
      <c r="SZU10" s="34"/>
      <c r="SZV10" s="34"/>
      <c r="SZW10" s="34"/>
      <c r="SZX10" s="34"/>
      <c r="SZY10" s="34"/>
      <c r="SZZ10" s="34"/>
      <c r="TAA10" s="34"/>
      <c r="TAB10" s="34"/>
      <c r="TAC10" s="34"/>
      <c r="TAD10" s="34"/>
      <c r="TAE10" s="34"/>
      <c r="TAF10" s="34"/>
      <c r="TAG10" s="34"/>
      <c r="TAH10" s="34"/>
      <c r="TAI10" s="34"/>
      <c r="TAJ10" s="34"/>
      <c r="TAK10" s="34"/>
      <c r="TAL10" s="34"/>
      <c r="TAM10" s="34"/>
      <c r="TAN10" s="34"/>
      <c r="TAO10" s="34"/>
      <c r="TAP10" s="34"/>
      <c r="TAQ10" s="34"/>
      <c r="TAR10" s="34"/>
      <c r="TAS10" s="34"/>
      <c r="TAT10" s="34"/>
      <c r="TAU10" s="34"/>
      <c r="TAV10" s="34"/>
      <c r="TAW10" s="34"/>
      <c r="TAX10" s="34"/>
      <c r="TAY10" s="34"/>
      <c r="TAZ10" s="34"/>
      <c r="TBA10" s="34"/>
      <c r="TBB10" s="34"/>
      <c r="TBC10" s="34"/>
      <c r="TBD10" s="34"/>
      <c r="TBE10" s="34"/>
      <c r="TBF10" s="34"/>
      <c r="TBG10" s="34"/>
      <c r="TBH10" s="34"/>
      <c r="TBI10" s="34"/>
      <c r="TBJ10" s="34"/>
      <c r="TBK10" s="34"/>
      <c r="TBL10" s="34"/>
      <c r="TBM10" s="34"/>
      <c r="TBN10" s="34"/>
      <c r="TBO10" s="34"/>
      <c r="TBP10" s="34"/>
      <c r="TBQ10" s="34"/>
      <c r="TBR10" s="34"/>
      <c r="TBS10" s="34"/>
      <c r="TBT10" s="34"/>
      <c r="TBU10" s="34"/>
      <c r="TBV10" s="34"/>
      <c r="TBW10" s="34"/>
      <c r="TBX10" s="34"/>
      <c r="TBY10" s="34"/>
      <c r="TBZ10" s="34"/>
      <c r="TCA10" s="34"/>
      <c r="TCB10" s="34"/>
      <c r="TCC10" s="34"/>
      <c r="TCD10" s="34"/>
      <c r="TCE10" s="34"/>
      <c r="TCF10" s="34"/>
      <c r="TCG10" s="34"/>
      <c r="TCH10" s="34"/>
      <c r="TCI10" s="34"/>
      <c r="TCJ10" s="34"/>
      <c r="TCK10" s="34"/>
      <c r="TCL10" s="34"/>
      <c r="TCM10" s="34"/>
      <c r="TCN10" s="34"/>
      <c r="TCO10" s="34"/>
      <c r="TCP10" s="34"/>
      <c r="TCQ10" s="34"/>
      <c r="TCR10" s="34"/>
      <c r="TCS10" s="34"/>
      <c r="TCT10" s="34"/>
      <c r="TCU10" s="34"/>
      <c r="TCV10" s="34"/>
      <c r="TCW10" s="34"/>
      <c r="TCX10" s="34"/>
      <c r="TCY10" s="34"/>
      <c r="TCZ10" s="34"/>
      <c r="TDA10" s="34"/>
      <c r="TDB10" s="34"/>
      <c r="TDC10" s="34"/>
      <c r="TDD10" s="34"/>
      <c r="TDE10" s="34"/>
      <c r="TDF10" s="34"/>
      <c r="TDG10" s="34"/>
      <c r="TDH10" s="34"/>
      <c r="TDI10" s="34"/>
      <c r="TDJ10" s="34"/>
      <c r="TDK10" s="34"/>
      <c r="TDL10" s="34"/>
      <c r="TDM10" s="34"/>
      <c r="TDN10" s="34"/>
      <c r="TDO10" s="34"/>
      <c r="TDP10" s="34"/>
      <c r="TDQ10" s="34"/>
      <c r="TDR10" s="34"/>
      <c r="TDS10" s="34"/>
      <c r="TDT10" s="34"/>
      <c r="TDU10" s="34"/>
      <c r="TDV10" s="34"/>
      <c r="TDW10" s="34"/>
      <c r="TDX10" s="34"/>
      <c r="TDY10" s="34"/>
      <c r="TDZ10" s="34"/>
      <c r="TEA10" s="34"/>
      <c r="TEB10" s="34"/>
      <c r="TEC10" s="34"/>
      <c r="TED10" s="34"/>
      <c r="TEE10" s="34"/>
      <c r="TEF10" s="34"/>
      <c r="TEG10" s="34"/>
      <c r="TEH10" s="34"/>
      <c r="TEI10" s="34"/>
      <c r="TEJ10" s="34"/>
      <c r="TEK10" s="34"/>
      <c r="TEL10" s="34"/>
      <c r="TEM10" s="34"/>
      <c r="TEN10" s="34"/>
      <c r="TEO10" s="34"/>
      <c r="TEP10" s="34"/>
      <c r="TEQ10" s="34"/>
      <c r="TER10" s="34"/>
      <c r="TES10" s="34"/>
      <c r="TET10" s="34"/>
      <c r="TEU10" s="34"/>
      <c r="TEV10" s="34"/>
      <c r="TEW10" s="34"/>
      <c r="TEX10" s="34"/>
      <c r="TEY10" s="34"/>
      <c r="TEZ10" s="34"/>
      <c r="TFA10" s="34"/>
      <c r="TFB10" s="34"/>
      <c r="TFC10" s="34"/>
      <c r="TFD10" s="34"/>
      <c r="TFE10" s="34"/>
      <c r="TFF10" s="34"/>
      <c r="TFG10" s="34"/>
      <c r="TFH10" s="34"/>
      <c r="TFI10" s="34"/>
      <c r="TFJ10" s="34"/>
      <c r="TFK10" s="34"/>
      <c r="TFL10" s="34"/>
      <c r="TFM10" s="34"/>
      <c r="TFN10" s="34"/>
      <c r="TFO10" s="34"/>
      <c r="TFP10" s="34"/>
      <c r="TFQ10" s="34"/>
      <c r="TFR10" s="34"/>
      <c r="TFS10" s="34"/>
      <c r="TFT10" s="34"/>
      <c r="TFU10" s="34"/>
      <c r="TFV10" s="34"/>
      <c r="TFW10" s="34"/>
      <c r="TFX10" s="34"/>
      <c r="TFY10" s="34"/>
      <c r="TFZ10" s="34"/>
      <c r="TGA10" s="34"/>
      <c r="TGB10" s="34"/>
      <c r="TGC10" s="34"/>
      <c r="TGD10" s="34"/>
      <c r="TGE10" s="34"/>
      <c r="TGF10" s="34"/>
      <c r="TGG10" s="34"/>
      <c r="TGH10" s="34"/>
      <c r="TGI10" s="34"/>
      <c r="TGJ10" s="34"/>
      <c r="TGK10" s="34"/>
      <c r="TGL10" s="34"/>
      <c r="TGM10" s="34"/>
      <c r="TGN10" s="34"/>
      <c r="TGO10" s="34"/>
      <c r="TGP10" s="34"/>
      <c r="TGQ10" s="34"/>
      <c r="TGR10" s="34"/>
      <c r="TGS10" s="34"/>
      <c r="TGT10" s="34"/>
      <c r="TGU10" s="34"/>
      <c r="TGV10" s="34"/>
      <c r="TGW10" s="34"/>
      <c r="TGX10" s="34"/>
      <c r="TGY10" s="34"/>
      <c r="TGZ10" s="34"/>
      <c r="THA10" s="34"/>
      <c r="THB10" s="34"/>
      <c r="THC10" s="34"/>
      <c r="THD10" s="34"/>
      <c r="THE10" s="34"/>
      <c r="THF10" s="34"/>
      <c r="THG10" s="34"/>
      <c r="THH10" s="34"/>
      <c r="THI10" s="34"/>
      <c r="THJ10" s="34"/>
      <c r="THK10" s="34"/>
      <c r="THL10" s="34"/>
      <c r="THM10" s="34"/>
      <c r="THN10" s="34"/>
      <c r="THO10" s="34"/>
      <c r="THP10" s="34"/>
      <c r="THQ10" s="34"/>
      <c r="THR10" s="34"/>
      <c r="THS10" s="34"/>
      <c r="THT10" s="34"/>
      <c r="THU10" s="34"/>
      <c r="THV10" s="34"/>
      <c r="THW10" s="34"/>
      <c r="THX10" s="34"/>
      <c r="THY10" s="34"/>
      <c r="THZ10" s="34"/>
      <c r="TIA10" s="34"/>
      <c r="TIB10" s="34"/>
      <c r="TIC10" s="34"/>
      <c r="TID10" s="34"/>
      <c r="TIE10" s="34"/>
      <c r="TIF10" s="34"/>
      <c r="TIG10" s="34"/>
      <c r="TIH10" s="34"/>
      <c r="TII10" s="34"/>
      <c r="TIJ10" s="34"/>
      <c r="TIK10" s="34"/>
      <c r="TIL10" s="34"/>
      <c r="TIM10" s="34"/>
      <c r="TIN10" s="34"/>
      <c r="TIO10" s="34"/>
      <c r="TIP10" s="34"/>
      <c r="TIQ10" s="34"/>
      <c r="TIR10" s="34"/>
      <c r="TIS10" s="34"/>
      <c r="TIT10" s="34"/>
      <c r="TIU10" s="34"/>
      <c r="TIV10" s="34"/>
      <c r="TIW10" s="34"/>
      <c r="TIX10" s="34"/>
      <c r="TIY10" s="34"/>
      <c r="TIZ10" s="34"/>
      <c r="TJA10" s="34"/>
      <c r="TJB10" s="34"/>
      <c r="TJC10" s="34"/>
      <c r="TJD10" s="34"/>
      <c r="TJE10" s="34"/>
      <c r="TJF10" s="34"/>
      <c r="TJG10" s="34"/>
      <c r="TJH10" s="34"/>
      <c r="TJI10" s="34"/>
      <c r="TJJ10" s="34"/>
      <c r="TJK10" s="34"/>
      <c r="TJL10" s="34"/>
      <c r="TJM10" s="34"/>
      <c r="TJN10" s="34"/>
      <c r="TJO10" s="34"/>
      <c r="TJP10" s="34"/>
      <c r="TJQ10" s="34"/>
      <c r="TJR10" s="34"/>
      <c r="TJS10" s="34"/>
      <c r="TJT10" s="34"/>
      <c r="TJU10" s="34"/>
      <c r="TJV10" s="34"/>
      <c r="TJW10" s="34"/>
      <c r="TJX10" s="34"/>
      <c r="TJY10" s="34"/>
      <c r="TJZ10" s="34"/>
      <c r="TKA10" s="34"/>
      <c r="TKB10" s="34"/>
      <c r="TKC10" s="34"/>
      <c r="TKD10" s="34"/>
      <c r="TKE10" s="34"/>
      <c r="TKF10" s="34"/>
      <c r="TKG10" s="34"/>
      <c r="TKH10" s="34"/>
      <c r="TKI10" s="34"/>
      <c r="TKJ10" s="34"/>
      <c r="TKK10" s="34"/>
      <c r="TKL10" s="34"/>
      <c r="TKM10" s="34"/>
      <c r="TKN10" s="34"/>
      <c r="TKO10" s="34"/>
      <c r="TKP10" s="34"/>
      <c r="TKQ10" s="34"/>
      <c r="TKR10" s="34"/>
      <c r="TKS10" s="34"/>
      <c r="TKT10" s="34"/>
      <c r="TKU10" s="34"/>
      <c r="TKV10" s="34"/>
      <c r="TKW10" s="34"/>
      <c r="TKX10" s="34"/>
      <c r="TKY10" s="34"/>
      <c r="TKZ10" s="34"/>
      <c r="TLA10" s="34"/>
      <c r="TLB10" s="34"/>
      <c r="TLC10" s="34"/>
      <c r="TLD10" s="34"/>
      <c r="TLE10" s="34"/>
      <c r="TLF10" s="34"/>
      <c r="TLG10" s="34"/>
      <c r="TLH10" s="34"/>
      <c r="TLI10" s="34"/>
      <c r="TLJ10" s="34"/>
      <c r="TLK10" s="34"/>
      <c r="TLL10" s="34"/>
      <c r="TLM10" s="34"/>
      <c r="TLN10" s="34"/>
      <c r="TLO10" s="34"/>
      <c r="TLP10" s="34"/>
      <c r="TLQ10" s="34"/>
      <c r="TLR10" s="34"/>
      <c r="TLS10" s="34"/>
      <c r="TLT10" s="34"/>
      <c r="TLU10" s="34"/>
      <c r="TLV10" s="34"/>
      <c r="TLW10" s="34"/>
      <c r="TLX10" s="34"/>
      <c r="TLY10" s="34"/>
      <c r="TLZ10" s="34"/>
      <c r="TMA10" s="34"/>
      <c r="TMB10" s="34"/>
      <c r="TMC10" s="34"/>
      <c r="TMD10" s="34"/>
      <c r="TME10" s="34"/>
      <c r="TMF10" s="34"/>
      <c r="TMG10" s="34"/>
      <c r="TMH10" s="34"/>
      <c r="TMI10" s="34"/>
      <c r="TMJ10" s="34"/>
      <c r="TMK10" s="34"/>
      <c r="TML10" s="34"/>
      <c r="TMM10" s="34"/>
      <c r="TMN10" s="34"/>
      <c r="TMO10" s="34"/>
      <c r="TMP10" s="34"/>
      <c r="TMQ10" s="34"/>
      <c r="TMR10" s="34"/>
      <c r="TMS10" s="34"/>
      <c r="TMT10" s="34"/>
      <c r="TMU10" s="34"/>
      <c r="TMV10" s="34"/>
      <c r="TMW10" s="34"/>
      <c r="TMX10" s="34"/>
      <c r="TMY10" s="34"/>
      <c r="TMZ10" s="34"/>
      <c r="TNA10" s="34"/>
      <c r="TNB10" s="34"/>
      <c r="TNC10" s="34"/>
      <c r="TND10" s="34"/>
      <c r="TNE10" s="34"/>
      <c r="TNF10" s="34"/>
      <c r="TNG10" s="34"/>
      <c r="TNH10" s="34"/>
      <c r="TNI10" s="34"/>
      <c r="TNJ10" s="34"/>
      <c r="TNK10" s="34"/>
      <c r="TNL10" s="34"/>
      <c r="TNM10" s="34"/>
      <c r="TNN10" s="34"/>
      <c r="TNO10" s="34"/>
      <c r="TNP10" s="34"/>
      <c r="TNQ10" s="34"/>
      <c r="TNR10" s="34"/>
      <c r="TNS10" s="34"/>
      <c r="TNT10" s="34"/>
      <c r="TNU10" s="34"/>
      <c r="TNV10" s="34"/>
      <c r="TNW10" s="34"/>
      <c r="TNX10" s="34"/>
      <c r="TNY10" s="34"/>
      <c r="TNZ10" s="34"/>
      <c r="TOA10" s="34"/>
      <c r="TOB10" s="34"/>
      <c r="TOC10" s="34"/>
      <c r="TOD10" s="34"/>
      <c r="TOE10" s="34"/>
      <c r="TOF10" s="34"/>
      <c r="TOG10" s="34"/>
      <c r="TOH10" s="34"/>
      <c r="TOI10" s="34"/>
      <c r="TOJ10" s="34"/>
      <c r="TOK10" s="34"/>
      <c r="TOL10" s="34"/>
      <c r="TOM10" s="34"/>
      <c r="TON10" s="34"/>
      <c r="TOO10" s="34"/>
      <c r="TOP10" s="34"/>
      <c r="TOQ10" s="34"/>
      <c r="TOR10" s="34"/>
      <c r="TOS10" s="34"/>
      <c r="TOT10" s="34"/>
      <c r="TOU10" s="34"/>
      <c r="TOV10" s="34"/>
      <c r="TOW10" s="34"/>
      <c r="TOX10" s="34"/>
      <c r="TOY10" s="34"/>
      <c r="TOZ10" s="34"/>
      <c r="TPA10" s="34"/>
      <c r="TPB10" s="34"/>
      <c r="TPC10" s="34"/>
      <c r="TPD10" s="34"/>
      <c r="TPE10" s="34"/>
      <c r="TPF10" s="34"/>
      <c r="TPG10" s="34"/>
      <c r="TPH10" s="34"/>
      <c r="TPI10" s="34"/>
      <c r="TPJ10" s="34"/>
      <c r="TPK10" s="34"/>
      <c r="TPL10" s="34"/>
      <c r="TPM10" s="34"/>
      <c r="TPN10" s="34"/>
      <c r="TPO10" s="34"/>
      <c r="TPP10" s="34"/>
      <c r="TPQ10" s="34"/>
      <c r="TPR10" s="34"/>
      <c r="TPS10" s="34"/>
      <c r="TPT10" s="34"/>
      <c r="TPU10" s="34"/>
      <c r="TPV10" s="34"/>
      <c r="TPW10" s="34"/>
      <c r="TPX10" s="34"/>
      <c r="TPY10" s="34"/>
      <c r="TPZ10" s="34"/>
      <c r="TQA10" s="34"/>
      <c r="TQB10" s="34"/>
      <c r="TQC10" s="34"/>
      <c r="TQD10" s="34"/>
      <c r="TQE10" s="34"/>
      <c r="TQF10" s="34"/>
      <c r="TQG10" s="34"/>
      <c r="TQH10" s="34"/>
      <c r="TQI10" s="34"/>
      <c r="TQJ10" s="34"/>
      <c r="TQK10" s="34"/>
      <c r="TQL10" s="34"/>
      <c r="TQM10" s="34"/>
      <c r="TQN10" s="34"/>
      <c r="TQO10" s="34"/>
      <c r="TQP10" s="34"/>
      <c r="TQQ10" s="34"/>
      <c r="TQR10" s="34"/>
      <c r="TQS10" s="34"/>
      <c r="TQT10" s="34"/>
      <c r="TQU10" s="34"/>
      <c r="TQV10" s="34"/>
      <c r="TQW10" s="34"/>
      <c r="TQX10" s="34"/>
      <c r="TQY10" s="34"/>
      <c r="TQZ10" s="34"/>
      <c r="TRA10" s="34"/>
      <c r="TRB10" s="34"/>
      <c r="TRC10" s="34"/>
      <c r="TRD10" s="34"/>
      <c r="TRE10" s="34"/>
      <c r="TRF10" s="34"/>
      <c r="TRG10" s="34"/>
      <c r="TRH10" s="34"/>
      <c r="TRI10" s="34"/>
      <c r="TRJ10" s="34"/>
      <c r="TRK10" s="34"/>
      <c r="TRL10" s="34"/>
      <c r="TRM10" s="34"/>
      <c r="TRN10" s="34"/>
      <c r="TRO10" s="34"/>
      <c r="TRP10" s="34"/>
      <c r="TRQ10" s="34"/>
      <c r="TRR10" s="34"/>
      <c r="TRS10" s="34"/>
      <c r="TRT10" s="34"/>
      <c r="TRU10" s="34"/>
      <c r="TRV10" s="34"/>
      <c r="TRW10" s="34"/>
      <c r="TRX10" s="34"/>
      <c r="TRY10" s="34"/>
      <c r="TRZ10" s="34"/>
      <c r="TSA10" s="34"/>
      <c r="TSB10" s="34"/>
      <c r="TSC10" s="34"/>
      <c r="TSD10" s="34"/>
      <c r="TSE10" s="34"/>
      <c r="TSF10" s="34"/>
      <c r="TSG10" s="34"/>
      <c r="TSH10" s="34"/>
      <c r="TSI10" s="34"/>
      <c r="TSJ10" s="34"/>
      <c r="TSK10" s="34"/>
      <c r="TSL10" s="34"/>
      <c r="TSM10" s="34"/>
      <c r="TSN10" s="34"/>
      <c r="TSO10" s="34"/>
      <c r="TSP10" s="34"/>
      <c r="TSQ10" s="34"/>
      <c r="TSR10" s="34"/>
      <c r="TSS10" s="34"/>
      <c r="TST10" s="34"/>
      <c r="TSU10" s="34"/>
      <c r="TSV10" s="34"/>
      <c r="TSW10" s="34"/>
      <c r="TSX10" s="34"/>
      <c r="TSY10" s="34"/>
      <c r="TSZ10" s="34"/>
      <c r="TTA10" s="34"/>
      <c r="TTB10" s="34"/>
      <c r="TTC10" s="34"/>
      <c r="TTD10" s="34"/>
      <c r="TTE10" s="34"/>
      <c r="TTF10" s="34"/>
      <c r="TTG10" s="34"/>
      <c r="TTH10" s="34"/>
      <c r="TTI10" s="34"/>
      <c r="TTJ10" s="34"/>
      <c r="TTK10" s="34"/>
      <c r="TTL10" s="34"/>
      <c r="TTM10" s="34"/>
      <c r="TTN10" s="34"/>
      <c r="TTO10" s="34"/>
      <c r="TTP10" s="34"/>
      <c r="TTQ10" s="34"/>
      <c r="TTR10" s="34"/>
      <c r="TTS10" s="34"/>
      <c r="TTT10" s="34"/>
      <c r="TTU10" s="34"/>
      <c r="TTV10" s="34"/>
      <c r="TTW10" s="34"/>
      <c r="TTX10" s="34"/>
      <c r="TTY10" s="34"/>
      <c r="TTZ10" s="34"/>
      <c r="TUA10" s="34"/>
      <c r="TUB10" s="34"/>
      <c r="TUC10" s="34"/>
      <c r="TUD10" s="34"/>
      <c r="TUE10" s="34"/>
      <c r="TUF10" s="34"/>
      <c r="TUG10" s="34"/>
      <c r="TUH10" s="34"/>
      <c r="TUI10" s="34"/>
      <c r="TUJ10" s="34"/>
      <c r="TUK10" s="34"/>
      <c r="TUL10" s="34"/>
      <c r="TUM10" s="34"/>
      <c r="TUN10" s="34"/>
      <c r="TUO10" s="34"/>
      <c r="TUP10" s="34"/>
      <c r="TUQ10" s="34"/>
      <c r="TUR10" s="34"/>
      <c r="TUS10" s="34"/>
      <c r="TUT10" s="34"/>
      <c r="TUU10" s="34"/>
      <c r="TUV10" s="34"/>
      <c r="TUW10" s="34"/>
      <c r="TUX10" s="34"/>
      <c r="TUY10" s="34"/>
      <c r="TUZ10" s="34"/>
      <c r="TVA10" s="34"/>
      <c r="TVB10" s="34"/>
      <c r="TVC10" s="34"/>
      <c r="TVD10" s="34"/>
      <c r="TVE10" s="34"/>
      <c r="TVF10" s="34"/>
      <c r="TVG10" s="34"/>
      <c r="TVH10" s="34"/>
      <c r="TVI10" s="34"/>
      <c r="TVJ10" s="34"/>
      <c r="TVK10" s="34"/>
      <c r="TVL10" s="34"/>
      <c r="TVM10" s="34"/>
      <c r="TVN10" s="34"/>
      <c r="TVO10" s="34"/>
      <c r="TVP10" s="34"/>
      <c r="TVQ10" s="34"/>
      <c r="TVR10" s="34"/>
      <c r="TVS10" s="34"/>
      <c r="TVT10" s="34"/>
      <c r="TVU10" s="34"/>
      <c r="TVV10" s="34"/>
      <c r="TVW10" s="34"/>
      <c r="TVX10" s="34"/>
      <c r="TVY10" s="34"/>
      <c r="TVZ10" s="34"/>
      <c r="TWA10" s="34"/>
      <c r="TWB10" s="34"/>
      <c r="TWC10" s="34"/>
      <c r="TWD10" s="34"/>
      <c r="TWE10" s="34"/>
      <c r="TWF10" s="34"/>
      <c r="TWG10" s="34"/>
      <c r="TWH10" s="34"/>
      <c r="TWI10" s="34"/>
      <c r="TWJ10" s="34"/>
      <c r="TWK10" s="34"/>
      <c r="TWL10" s="34"/>
      <c r="TWM10" s="34"/>
      <c r="TWN10" s="34"/>
      <c r="TWO10" s="34"/>
      <c r="TWP10" s="34"/>
      <c r="TWQ10" s="34"/>
      <c r="TWR10" s="34"/>
      <c r="TWS10" s="34"/>
      <c r="TWT10" s="34"/>
      <c r="TWU10" s="34"/>
      <c r="TWV10" s="34"/>
      <c r="TWW10" s="34"/>
      <c r="TWX10" s="34"/>
      <c r="TWY10" s="34"/>
      <c r="TWZ10" s="34"/>
      <c r="TXA10" s="34"/>
      <c r="TXB10" s="34"/>
      <c r="TXC10" s="34"/>
      <c r="TXD10" s="34"/>
      <c r="TXE10" s="34"/>
      <c r="TXF10" s="34"/>
      <c r="TXG10" s="34"/>
      <c r="TXH10" s="34"/>
      <c r="TXI10" s="34"/>
      <c r="TXJ10" s="34"/>
      <c r="TXK10" s="34"/>
      <c r="TXL10" s="34"/>
      <c r="TXM10" s="34"/>
      <c r="TXN10" s="34"/>
      <c r="TXO10" s="34"/>
      <c r="TXP10" s="34"/>
      <c r="TXQ10" s="34"/>
      <c r="TXR10" s="34"/>
      <c r="TXS10" s="34"/>
      <c r="TXT10" s="34"/>
      <c r="TXU10" s="34"/>
      <c r="TXV10" s="34"/>
      <c r="TXW10" s="34"/>
      <c r="TXX10" s="34"/>
      <c r="TXY10" s="34"/>
      <c r="TXZ10" s="34"/>
      <c r="TYA10" s="34"/>
      <c r="TYB10" s="34"/>
      <c r="TYC10" s="34"/>
      <c r="TYD10" s="34"/>
      <c r="TYE10" s="34"/>
      <c r="TYF10" s="34"/>
      <c r="TYG10" s="34"/>
      <c r="TYH10" s="34"/>
      <c r="TYI10" s="34"/>
      <c r="TYJ10" s="34"/>
      <c r="TYK10" s="34"/>
      <c r="TYL10" s="34"/>
      <c r="TYM10" s="34"/>
      <c r="TYN10" s="34"/>
      <c r="TYO10" s="34"/>
      <c r="TYP10" s="34"/>
      <c r="TYQ10" s="34"/>
      <c r="TYR10" s="34"/>
      <c r="TYS10" s="34"/>
      <c r="TYT10" s="34"/>
      <c r="TYU10" s="34"/>
      <c r="TYV10" s="34"/>
      <c r="TYW10" s="34"/>
      <c r="TYX10" s="34"/>
      <c r="TYY10" s="34"/>
      <c r="TYZ10" s="34"/>
      <c r="TZA10" s="34"/>
      <c r="TZB10" s="34"/>
      <c r="TZC10" s="34"/>
      <c r="TZD10" s="34"/>
      <c r="TZE10" s="34"/>
      <c r="TZF10" s="34"/>
      <c r="TZG10" s="34"/>
      <c r="TZH10" s="34"/>
      <c r="TZI10" s="34"/>
      <c r="TZJ10" s="34"/>
      <c r="TZK10" s="34"/>
      <c r="TZL10" s="34"/>
      <c r="TZM10" s="34"/>
      <c r="TZN10" s="34"/>
      <c r="TZO10" s="34"/>
      <c r="TZP10" s="34"/>
      <c r="TZQ10" s="34"/>
      <c r="TZR10" s="34"/>
      <c r="TZS10" s="34"/>
      <c r="TZT10" s="34"/>
      <c r="TZU10" s="34"/>
      <c r="TZV10" s="34"/>
      <c r="TZW10" s="34"/>
      <c r="TZX10" s="34"/>
      <c r="TZY10" s="34"/>
      <c r="TZZ10" s="34"/>
      <c r="UAA10" s="34"/>
      <c r="UAB10" s="34"/>
      <c r="UAC10" s="34"/>
      <c r="UAD10" s="34"/>
      <c r="UAE10" s="34"/>
      <c r="UAF10" s="34"/>
      <c r="UAG10" s="34"/>
      <c r="UAH10" s="34"/>
      <c r="UAI10" s="34"/>
      <c r="UAJ10" s="34"/>
      <c r="UAK10" s="34"/>
      <c r="UAL10" s="34"/>
      <c r="UAM10" s="34"/>
      <c r="UAN10" s="34"/>
      <c r="UAO10" s="34"/>
      <c r="UAP10" s="34"/>
      <c r="UAQ10" s="34"/>
      <c r="UAR10" s="34"/>
      <c r="UAS10" s="34"/>
      <c r="UAT10" s="34"/>
      <c r="UAU10" s="34"/>
      <c r="UAV10" s="34"/>
      <c r="UAW10" s="34"/>
      <c r="UAX10" s="34"/>
      <c r="UAY10" s="34"/>
      <c r="UAZ10" s="34"/>
      <c r="UBA10" s="34"/>
      <c r="UBB10" s="34"/>
      <c r="UBC10" s="34"/>
      <c r="UBD10" s="34"/>
      <c r="UBE10" s="34"/>
      <c r="UBF10" s="34"/>
      <c r="UBG10" s="34"/>
      <c r="UBH10" s="34"/>
      <c r="UBI10" s="34"/>
      <c r="UBJ10" s="34"/>
      <c r="UBK10" s="34"/>
      <c r="UBL10" s="34"/>
      <c r="UBM10" s="34"/>
      <c r="UBN10" s="34"/>
      <c r="UBO10" s="34"/>
      <c r="UBP10" s="34"/>
      <c r="UBQ10" s="34"/>
      <c r="UBR10" s="34"/>
      <c r="UBS10" s="34"/>
      <c r="UBT10" s="34"/>
      <c r="UBU10" s="34"/>
      <c r="UBV10" s="34"/>
      <c r="UBW10" s="34"/>
      <c r="UBX10" s="34"/>
      <c r="UBY10" s="34"/>
      <c r="UBZ10" s="34"/>
      <c r="UCA10" s="34"/>
      <c r="UCB10" s="34"/>
      <c r="UCC10" s="34"/>
      <c r="UCD10" s="34"/>
      <c r="UCE10" s="34"/>
      <c r="UCF10" s="34"/>
      <c r="UCG10" s="34"/>
      <c r="UCH10" s="34"/>
      <c r="UCI10" s="34"/>
      <c r="UCJ10" s="34"/>
      <c r="UCK10" s="34"/>
      <c r="UCL10" s="34"/>
      <c r="UCM10" s="34"/>
      <c r="UCN10" s="34"/>
      <c r="UCO10" s="34"/>
      <c r="UCP10" s="34"/>
      <c r="UCQ10" s="34"/>
      <c r="UCR10" s="34"/>
      <c r="UCS10" s="34"/>
      <c r="UCT10" s="34"/>
      <c r="UCU10" s="34"/>
      <c r="UCV10" s="34"/>
      <c r="UCW10" s="34"/>
      <c r="UCX10" s="34"/>
      <c r="UCY10" s="34"/>
      <c r="UCZ10" s="34"/>
      <c r="UDA10" s="34"/>
      <c r="UDB10" s="34"/>
      <c r="UDC10" s="34"/>
      <c r="UDD10" s="34"/>
      <c r="UDE10" s="34"/>
      <c r="UDF10" s="34"/>
      <c r="UDG10" s="34"/>
      <c r="UDH10" s="34"/>
      <c r="UDI10" s="34"/>
      <c r="UDJ10" s="34"/>
      <c r="UDK10" s="34"/>
      <c r="UDL10" s="34"/>
      <c r="UDM10" s="34"/>
      <c r="UDN10" s="34"/>
      <c r="UDO10" s="34"/>
      <c r="UDP10" s="34"/>
      <c r="UDQ10" s="34"/>
      <c r="UDR10" s="34"/>
      <c r="UDS10" s="34"/>
      <c r="UDT10" s="34"/>
      <c r="UDU10" s="34"/>
      <c r="UDV10" s="34"/>
      <c r="UDW10" s="34"/>
      <c r="UDX10" s="34"/>
      <c r="UDY10" s="34"/>
      <c r="UDZ10" s="34"/>
      <c r="UEA10" s="34"/>
      <c r="UEB10" s="34"/>
      <c r="UEC10" s="34"/>
      <c r="UED10" s="34"/>
      <c r="UEE10" s="34"/>
      <c r="UEF10" s="34"/>
      <c r="UEG10" s="34"/>
      <c r="UEH10" s="34"/>
      <c r="UEI10" s="34"/>
      <c r="UEJ10" s="34"/>
      <c r="UEK10" s="34"/>
      <c r="UEL10" s="34"/>
      <c r="UEM10" s="34"/>
      <c r="UEN10" s="34"/>
      <c r="UEO10" s="34"/>
      <c r="UEP10" s="34"/>
      <c r="UEQ10" s="34"/>
      <c r="UER10" s="34"/>
      <c r="UES10" s="34"/>
      <c r="UET10" s="34"/>
      <c r="UEU10" s="34"/>
      <c r="UEV10" s="34"/>
      <c r="UEW10" s="34"/>
      <c r="UEX10" s="34"/>
      <c r="UEY10" s="34"/>
      <c r="UEZ10" s="34"/>
      <c r="UFA10" s="34"/>
      <c r="UFB10" s="34"/>
      <c r="UFC10" s="34"/>
      <c r="UFD10" s="34"/>
      <c r="UFE10" s="34"/>
      <c r="UFF10" s="34"/>
      <c r="UFG10" s="34"/>
      <c r="UFH10" s="34"/>
      <c r="UFI10" s="34"/>
      <c r="UFJ10" s="34"/>
      <c r="UFK10" s="34"/>
      <c r="UFL10" s="34"/>
      <c r="UFM10" s="34"/>
      <c r="UFN10" s="34"/>
      <c r="UFO10" s="34"/>
      <c r="UFP10" s="34"/>
      <c r="UFQ10" s="34"/>
      <c r="UFR10" s="34"/>
      <c r="UFS10" s="34"/>
      <c r="UFT10" s="34"/>
      <c r="UFU10" s="34"/>
      <c r="UFV10" s="34"/>
      <c r="UFW10" s="34"/>
      <c r="UFX10" s="34"/>
      <c r="UFY10" s="34"/>
      <c r="UFZ10" s="34"/>
      <c r="UGA10" s="34"/>
      <c r="UGB10" s="34"/>
      <c r="UGC10" s="34"/>
      <c r="UGD10" s="34"/>
      <c r="UGE10" s="34"/>
      <c r="UGF10" s="34"/>
      <c r="UGG10" s="34"/>
      <c r="UGH10" s="34"/>
      <c r="UGI10" s="34"/>
      <c r="UGJ10" s="34"/>
      <c r="UGK10" s="34"/>
      <c r="UGL10" s="34"/>
      <c r="UGM10" s="34"/>
      <c r="UGN10" s="34"/>
      <c r="UGO10" s="34"/>
      <c r="UGP10" s="34"/>
      <c r="UGQ10" s="34"/>
      <c r="UGR10" s="34"/>
      <c r="UGS10" s="34"/>
      <c r="UGT10" s="34"/>
      <c r="UGU10" s="34"/>
      <c r="UGV10" s="34"/>
      <c r="UGW10" s="34"/>
      <c r="UGX10" s="34"/>
      <c r="UGY10" s="34"/>
      <c r="UGZ10" s="34"/>
      <c r="UHA10" s="34"/>
      <c r="UHB10" s="34"/>
      <c r="UHC10" s="34"/>
      <c r="UHD10" s="34"/>
      <c r="UHE10" s="34"/>
      <c r="UHF10" s="34"/>
      <c r="UHG10" s="34"/>
      <c r="UHH10" s="34"/>
      <c r="UHI10" s="34"/>
      <c r="UHJ10" s="34"/>
      <c r="UHK10" s="34"/>
      <c r="UHL10" s="34"/>
      <c r="UHM10" s="34"/>
      <c r="UHN10" s="34"/>
      <c r="UHO10" s="34"/>
      <c r="UHP10" s="34"/>
      <c r="UHQ10" s="34"/>
      <c r="UHR10" s="34"/>
      <c r="UHS10" s="34"/>
      <c r="UHT10" s="34"/>
      <c r="UHU10" s="34"/>
      <c r="UHV10" s="34"/>
      <c r="UHW10" s="34"/>
      <c r="UHX10" s="34"/>
      <c r="UHY10" s="34"/>
      <c r="UHZ10" s="34"/>
      <c r="UIA10" s="34"/>
      <c r="UIB10" s="34"/>
      <c r="UIC10" s="34"/>
      <c r="UID10" s="34"/>
      <c r="UIE10" s="34"/>
      <c r="UIF10" s="34"/>
      <c r="UIG10" s="34"/>
      <c r="UIH10" s="34"/>
      <c r="UII10" s="34"/>
      <c r="UIJ10" s="34"/>
      <c r="UIK10" s="34"/>
      <c r="UIL10" s="34"/>
      <c r="UIM10" s="34"/>
      <c r="UIN10" s="34"/>
      <c r="UIO10" s="34"/>
      <c r="UIP10" s="34"/>
      <c r="UIQ10" s="34"/>
      <c r="UIR10" s="34"/>
      <c r="UIS10" s="34"/>
      <c r="UIT10" s="34"/>
      <c r="UIU10" s="34"/>
      <c r="UIV10" s="34"/>
      <c r="UIW10" s="34"/>
      <c r="UIX10" s="34"/>
      <c r="UIY10" s="34"/>
      <c r="UIZ10" s="34"/>
      <c r="UJA10" s="34"/>
      <c r="UJB10" s="34"/>
      <c r="UJC10" s="34"/>
      <c r="UJD10" s="34"/>
      <c r="UJE10" s="34"/>
      <c r="UJF10" s="34"/>
      <c r="UJG10" s="34"/>
      <c r="UJH10" s="34"/>
      <c r="UJI10" s="34"/>
      <c r="UJJ10" s="34"/>
      <c r="UJK10" s="34"/>
      <c r="UJL10" s="34"/>
      <c r="UJM10" s="34"/>
      <c r="UJN10" s="34"/>
      <c r="UJO10" s="34"/>
      <c r="UJP10" s="34"/>
      <c r="UJQ10" s="34"/>
      <c r="UJR10" s="34"/>
      <c r="UJS10" s="34"/>
      <c r="UJT10" s="34"/>
      <c r="UJU10" s="34"/>
      <c r="UJV10" s="34"/>
      <c r="UJW10" s="34"/>
      <c r="UJX10" s="34"/>
      <c r="UJY10" s="34"/>
      <c r="UJZ10" s="34"/>
      <c r="UKA10" s="34"/>
      <c r="UKB10" s="34"/>
      <c r="UKC10" s="34"/>
      <c r="UKD10" s="34"/>
      <c r="UKE10" s="34"/>
      <c r="UKF10" s="34"/>
      <c r="UKG10" s="34"/>
      <c r="UKH10" s="34"/>
      <c r="UKI10" s="34"/>
      <c r="UKJ10" s="34"/>
      <c r="UKK10" s="34"/>
      <c r="UKL10" s="34"/>
      <c r="UKM10" s="34"/>
      <c r="UKN10" s="34"/>
      <c r="UKO10" s="34"/>
      <c r="UKP10" s="34"/>
      <c r="UKQ10" s="34"/>
      <c r="UKR10" s="34"/>
      <c r="UKS10" s="34"/>
      <c r="UKT10" s="34"/>
      <c r="UKU10" s="34"/>
      <c r="UKV10" s="34"/>
      <c r="UKW10" s="34"/>
      <c r="UKX10" s="34"/>
      <c r="UKY10" s="34"/>
      <c r="UKZ10" s="34"/>
      <c r="ULA10" s="34"/>
      <c r="ULB10" s="34"/>
      <c r="ULC10" s="34"/>
      <c r="ULD10" s="34"/>
      <c r="ULE10" s="34"/>
      <c r="ULF10" s="34"/>
      <c r="ULG10" s="34"/>
      <c r="ULH10" s="34"/>
      <c r="ULI10" s="34"/>
      <c r="ULJ10" s="34"/>
      <c r="ULK10" s="34"/>
      <c r="ULL10" s="34"/>
      <c r="ULM10" s="34"/>
      <c r="ULN10" s="34"/>
      <c r="ULO10" s="34"/>
      <c r="ULP10" s="34"/>
      <c r="ULQ10" s="34"/>
      <c r="ULR10" s="34"/>
      <c r="ULS10" s="34"/>
      <c r="ULT10" s="34"/>
      <c r="ULU10" s="34"/>
      <c r="ULV10" s="34"/>
      <c r="ULW10" s="34"/>
      <c r="ULX10" s="34"/>
      <c r="ULY10" s="34"/>
      <c r="ULZ10" s="34"/>
      <c r="UMA10" s="34"/>
      <c r="UMB10" s="34"/>
      <c r="UMC10" s="34"/>
      <c r="UMD10" s="34"/>
      <c r="UME10" s="34"/>
      <c r="UMF10" s="34"/>
      <c r="UMG10" s="34"/>
      <c r="UMH10" s="34"/>
      <c r="UMI10" s="34"/>
      <c r="UMJ10" s="34"/>
      <c r="UMK10" s="34"/>
      <c r="UML10" s="34"/>
      <c r="UMM10" s="34"/>
      <c r="UMN10" s="34"/>
      <c r="UMO10" s="34"/>
      <c r="UMP10" s="34"/>
      <c r="UMQ10" s="34"/>
      <c r="UMR10" s="34"/>
      <c r="UMS10" s="34"/>
      <c r="UMT10" s="34"/>
      <c r="UMU10" s="34"/>
      <c r="UMV10" s="34"/>
      <c r="UMW10" s="34"/>
      <c r="UMX10" s="34"/>
      <c r="UMY10" s="34"/>
      <c r="UMZ10" s="34"/>
      <c r="UNA10" s="34"/>
      <c r="UNB10" s="34"/>
      <c r="UNC10" s="34"/>
      <c r="UND10" s="34"/>
      <c r="UNE10" s="34"/>
      <c r="UNF10" s="34"/>
      <c r="UNG10" s="34"/>
      <c r="UNH10" s="34"/>
      <c r="UNI10" s="34"/>
      <c r="UNJ10" s="34"/>
      <c r="UNK10" s="34"/>
      <c r="UNL10" s="34"/>
      <c r="UNM10" s="34"/>
      <c r="UNN10" s="34"/>
      <c r="UNO10" s="34"/>
      <c r="UNP10" s="34"/>
      <c r="UNQ10" s="34"/>
      <c r="UNR10" s="34"/>
      <c r="UNS10" s="34"/>
      <c r="UNT10" s="34"/>
      <c r="UNU10" s="34"/>
      <c r="UNV10" s="34"/>
      <c r="UNW10" s="34"/>
      <c r="UNX10" s="34"/>
      <c r="UNY10" s="34"/>
      <c r="UNZ10" s="34"/>
      <c r="UOA10" s="34"/>
      <c r="UOB10" s="34"/>
      <c r="UOC10" s="34"/>
      <c r="UOD10" s="34"/>
      <c r="UOE10" s="34"/>
      <c r="UOF10" s="34"/>
      <c r="UOG10" s="34"/>
      <c r="UOH10" s="34"/>
      <c r="UOI10" s="34"/>
      <c r="UOJ10" s="34"/>
      <c r="UOK10" s="34"/>
      <c r="UOL10" s="34"/>
      <c r="UOM10" s="34"/>
      <c r="UON10" s="34"/>
      <c r="UOO10" s="34"/>
      <c r="UOP10" s="34"/>
      <c r="UOQ10" s="34"/>
      <c r="UOR10" s="34"/>
      <c r="UOS10" s="34"/>
      <c r="UOT10" s="34"/>
      <c r="UOU10" s="34"/>
      <c r="UOV10" s="34"/>
      <c r="UOW10" s="34"/>
      <c r="UOX10" s="34"/>
      <c r="UOY10" s="34"/>
      <c r="UOZ10" s="34"/>
      <c r="UPA10" s="34"/>
      <c r="UPB10" s="34"/>
      <c r="UPC10" s="34"/>
      <c r="UPD10" s="34"/>
      <c r="UPE10" s="34"/>
      <c r="UPF10" s="34"/>
      <c r="UPG10" s="34"/>
      <c r="UPH10" s="34"/>
      <c r="UPI10" s="34"/>
      <c r="UPJ10" s="34"/>
      <c r="UPK10" s="34"/>
      <c r="UPL10" s="34"/>
      <c r="UPM10" s="34"/>
      <c r="UPN10" s="34"/>
      <c r="UPO10" s="34"/>
      <c r="UPP10" s="34"/>
      <c r="UPQ10" s="34"/>
      <c r="UPR10" s="34"/>
      <c r="UPS10" s="34"/>
      <c r="UPT10" s="34"/>
      <c r="UPU10" s="34"/>
      <c r="UPV10" s="34"/>
      <c r="UPW10" s="34"/>
      <c r="UPX10" s="34"/>
      <c r="UPY10" s="34"/>
      <c r="UPZ10" s="34"/>
      <c r="UQA10" s="34"/>
      <c r="UQB10" s="34"/>
      <c r="UQC10" s="34"/>
      <c r="UQD10" s="34"/>
      <c r="UQE10" s="34"/>
      <c r="UQF10" s="34"/>
      <c r="UQG10" s="34"/>
      <c r="UQH10" s="34"/>
      <c r="UQI10" s="34"/>
      <c r="UQJ10" s="34"/>
      <c r="UQK10" s="34"/>
      <c r="UQL10" s="34"/>
      <c r="UQM10" s="34"/>
      <c r="UQN10" s="34"/>
      <c r="UQO10" s="34"/>
      <c r="UQP10" s="34"/>
      <c r="UQQ10" s="34"/>
      <c r="UQR10" s="34"/>
      <c r="UQS10" s="34"/>
      <c r="UQT10" s="34"/>
      <c r="UQU10" s="34"/>
      <c r="UQV10" s="34"/>
      <c r="UQW10" s="34"/>
      <c r="UQX10" s="34"/>
      <c r="UQY10" s="34"/>
      <c r="UQZ10" s="34"/>
      <c r="URA10" s="34"/>
      <c r="URB10" s="34"/>
      <c r="URC10" s="34"/>
      <c r="URD10" s="34"/>
      <c r="URE10" s="34"/>
      <c r="URF10" s="34"/>
      <c r="URG10" s="34"/>
      <c r="URH10" s="34"/>
      <c r="URI10" s="34"/>
      <c r="URJ10" s="34"/>
      <c r="URK10" s="34"/>
      <c r="URL10" s="34"/>
      <c r="URM10" s="34"/>
      <c r="URN10" s="34"/>
      <c r="URO10" s="34"/>
      <c r="URP10" s="34"/>
      <c r="URQ10" s="34"/>
      <c r="URR10" s="34"/>
      <c r="URS10" s="34"/>
      <c r="URT10" s="34"/>
      <c r="URU10" s="34"/>
      <c r="URV10" s="34"/>
      <c r="URW10" s="34"/>
      <c r="URX10" s="34"/>
      <c r="URY10" s="34"/>
      <c r="URZ10" s="34"/>
      <c r="USA10" s="34"/>
      <c r="USB10" s="34"/>
      <c r="USC10" s="34"/>
      <c r="USD10" s="34"/>
      <c r="USE10" s="34"/>
      <c r="USF10" s="34"/>
      <c r="USG10" s="34"/>
      <c r="USH10" s="34"/>
      <c r="USI10" s="34"/>
      <c r="USJ10" s="34"/>
      <c r="USK10" s="34"/>
      <c r="USL10" s="34"/>
      <c r="USM10" s="34"/>
      <c r="USN10" s="34"/>
      <c r="USO10" s="34"/>
      <c r="USP10" s="34"/>
      <c r="USQ10" s="34"/>
      <c r="USR10" s="34"/>
      <c r="USS10" s="34"/>
      <c r="UST10" s="34"/>
      <c r="USU10" s="34"/>
      <c r="USV10" s="34"/>
      <c r="USW10" s="34"/>
      <c r="USX10" s="34"/>
      <c r="USY10" s="34"/>
      <c r="USZ10" s="34"/>
      <c r="UTA10" s="34"/>
      <c r="UTB10" s="34"/>
      <c r="UTC10" s="34"/>
      <c r="UTD10" s="34"/>
      <c r="UTE10" s="34"/>
      <c r="UTF10" s="34"/>
      <c r="UTG10" s="34"/>
      <c r="UTH10" s="34"/>
      <c r="UTI10" s="34"/>
      <c r="UTJ10" s="34"/>
      <c r="UTK10" s="34"/>
      <c r="UTL10" s="34"/>
      <c r="UTM10" s="34"/>
      <c r="UTN10" s="34"/>
      <c r="UTO10" s="34"/>
      <c r="UTP10" s="34"/>
      <c r="UTQ10" s="34"/>
      <c r="UTR10" s="34"/>
      <c r="UTS10" s="34"/>
      <c r="UTT10" s="34"/>
      <c r="UTU10" s="34"/>
      <c r="UTV10" s="34"/>
      <c r="UTW10" s="34"/>
      <c r="UTX10" s="34"/>
      <c r="UTY10" s="34"/>
      <c r="UTZ10" s="34"/>
      <c r="UUA10" s="34"/>
      <c r="UUB10" s="34"/>
      <c r="UUC10" s="34"/>
      <c r="UUD10" s="34"/>
      <c r="UUE10" s="34"/>
      <c r="UUF10" s="34"/>
      <c r="UUG10" s="34"/>
      <c r="UUH10" s="34"/>
      <c r="UUI10" s="34"/>
      <c r="UUJ10" s="34"/>
      <c r="UUK10" s="34"/>
      <c r="UUL10" s="34"/>
      <c r="UUM10" s="34"/>
      <c r="UUN10" s="34"/>
      <c r="UUO10" s="34"/>
      <c r="UUP10" s="34"/>
      <c r="UUQ10" s="34"/>
      <c r="UUR10" s="34"/>
      <c r="UUS10" s="34"/>
      <c r="UUT10" s="34"/>
      <c r="UUU10" s="34"/>
      <c r="UUV10" s="34"/>
      <c r="UUW10" s="34"/>
      <c r="UUX10" s="34"/>
      <c r="UUY10" s="34"/>
      <c r="UUZ10" s="34"/>
      <c r="UVA10" s="34"/>
      <c r="UVB10" s="34"/>
      <c r="UVC10" s="34"/>
      <c r="UVD10" s="34"/>
      <c r="UVE10" s="34"/>
      <c r="UVF10" s="34"/>
      <c r="UVG10" s="34"/>
      <c r="UVH10" s="34"/>
      <c r="UVI10" s="34"/>
      <c r="UVJ10" s="34"/>
      <c r="UVK10" s="34"/>
      <c r="UVL10" s="34"/>
      <c r="UVM10" s="34"/>
      <c r="UVN10" s="34"/>
      <c r="UVO10" s="34"/>
      <c r="UVP10" s="34"/>
      <c r="UVQ10" s="34"/>
      <c r="UVR10" s="34"/>
      <c r="UVS10" s="34"/>
      <c r="UVT10" s="34"/>
      <c r="UVU10" s="34"/>
      <c r="UVV10" s="34"/>
      <c r="UVW10" s="34"/>
      <c r="UVX10" s="34"/>
      <c r="UVY10" s="34"/>
      <c r="UVZ10" s="34"/>
      <c r="UWA10" s="34"/>
      <c r="UWB10" s="34"/>
      <c r="UWC10" s="34"/>
      <c r="UWD10" s="34"/>
      <c r="UWE10" s="34"/>
      <c r="UWF10" s="34"/>
      <c r="UWG10" s="34"/>
      <c r="UWH10" s="34"/>
      <c r="UWI10" s="34"/>
      <c r="UWJ10" s="34"/>
      <c r="UWK10" s="34"/>
      <c r="UWL10" s="34"/>
      <c r="UWM10" s="34"/>
      <c r="UWN10" s="34"/>
      <c r="UWO10" s="34"/>
      <c r="UWP10" s="34"/>
      <c r="UWQ10" s="34"/>
      <c r="UWR10" s="34"/>
      <c r="UWS10" s="34"/>
      <c r="UWT10" s="34"/>
      <c r="UWU10" s="34"/>
      <c r="UWV10" s="34"/>
      <c r="UWW10" s="34"/>
      <c r="UWX10" s="34"/>
      <c r="UWY10" s="34"/>
      <c r="UWZ10" s="34"/>
      <c r="UXA10" s="34"/>
      <c r="UXB10" s="34"/>
      <c r="UXC10" s="34"/>
      <c r="UXD10" s="34"/>
      <c r="UXE10" s="34"/>
      <c r="UXF10" s="34"/>
      <c r="UXG10" s="34"/>
      <c r="UXH10" s="34"/>
      <c r="UXI10" s="34"/>
      <c r="UXJ10" s="34"/>
      <c r="UXK10" s="34"/>
      <c r="UXL10" s="34"/>
      <c r="UXM10" s="34"/>
      <c r="UXN10" s="34"/>
      <c r="UXO10" s="34"/>
      <c r="UXP10" s="34"/>
      <c r="UXQ10" s="34"/>
      <c r="UXR10" s="34"/>
      <c r="UXS10" s="34"/>
      <c r="UXT10" s="34"/>
      <c r="UXU10" s="34"/>
      <c r="UXV10" s="34"/>
      <c r="UXW10" s="34"/>
      <c r="UXX10" s="34"/>
      <c r="UXY10" s="34"/>
      <c r="UXZ10" s="34"/>
      <c r="UYA10" s="34"/>
      <c r="UYB10" s="34"/>
      <c r="UYC10" s="34"/>
      <c r="UYD10" s="34"/>
      <c r="UYE10" s="34"/>
      <c r="UYF10" s="34"/>
      <c r="UYG10" s="34"/>
      <c r="UYH10" s="34"/>
      <c r="UYI10" s="34"/>
      <c r="UYJ10" s="34"/>
      <c r="UYK10" s="34"/>
      <c r="UYL10" s="34"/>
      <c r="UYM10" s="34"/>
      <c r="UYN10" s="34"/>
      <c r="UYO10" s="34"/>
      <c r="UYP10" s="34"/>
      <c r="UYQ10" s="34"/>
      <c r="UYR10" s="34"/>
      <c r="UYS10" s="34"/>
      <c r="UYT10" s="34"/>
      <c r="UYU10" s="34"/>
      <c r="UYV10" s="34"/>
      <c r="UYW10" s="34"/>
      <c r="UYX10" s="34"/>
      <c r="UYY10" s="34"/>
      <c r="UYZ10" s="34"/>
      <c r="UZA10" s="34"/>
      <c r="UZB10" s="34"/>
      <c r="UZC10" s="34"/>
      <c r="UZD10" s="34"/>
      <c r="UZE10" s="34"/>
      <c r="UZF10" s="34"/>
      <c r="UZG10" s="34"/>
      <c r="UZH10" s="34"/>
      <c r="UZI10" s="34"/>
      <c r="UZJ10" s="34"/>
      <c r="UZK10" s="34"/>
      <c r="UZL10" s="34"/>
      <c r="UZM10" s="34"/>
      <c r="UZN10" s="34"/>
      <c r="UZO10" s="34"/>
      <c r="UZP10" s="34"/>
      <c r="UZQ10" s="34"/>
      <c r="UZR10" s="34"/>
      <c r="UZS10" s="34"/>
      <c r="UZT10" s="34"/>
      <c r="UZU10" s="34"/>
      <c r="UZV10" s="34"/>
      <c r="UZW10" s="34"/>
      <c r="UZX10" s="34"/>
      <c r="UZY10" s="34"/>
      <c r="UZZ10" s="34"/>
      <c r="VAA10" s="34"/>
      <c r="VAB10" s="34"/>
      <c r="VAC10" s="34"/>
      <c r="VAD10" s="34"/>
      <c r="VAE10" s="34"/>
      <c r="VAF10" s="34"/>
      <c r="VAG10" s="34"/>
      <c r="VAH10" s="34"/>
      <c r="VAI10" s="34"/>
      <c r="VAJ10" s="34"/>
      <c r="VAK10" s="34"/>
      <c r="VAL10" s="34"/>
      <c r="VAM10" s="34"/>
      <c r="VAN10" s="34"/>
      <c r="VAO10" s="34"/>
      <c r="VAP10" s="34"/>
      <c r="VAQ10" s="34"/>
      <c r="VAR10" s="34"/>
      <c r="VAS10" s="34"/>
      <c r="VAT10" s="34"/>
      <c r="VAU10" s="34"/>
      <c r="VAV10" s="34"/>
      <c r="VAW10" s="34"/>
      <c r="VAX10" s="34"/>
      <c r="VAY10" s="34"/>
      <c r="VAZ10" s="34"/>
      <c r="VBA10" s="34"/>
      <c r="VBB10" s="34"/>
      <c r="VBC10" s="34"/>
      <c r="VBD10" s="34"/>
      <c r="VBE10" s="34"/>
      <c r="VBF10" s="34"/>
      <c r="VBG10" s="34"/>
      <c r="VBH10" s="34"/>
      <c r="VBI10" s="34"/>
      <c r="VBJ10" s="34"/>
      <c r="VBK10" s="34"/>
      <c r="VBL10" s="34"/>
      <c r="VBM10" s="34"/>
      <c r="VBN10" s="34"/>
      <c r="VBO10" s="34"/>
      <c r="VBP10" s="34"/>
      <c r="VBQ10" s="34"/>
      <c r="VBR10" s="34"/>
      <c r="VBS10" s="34"/>
      <c r="VBT10" s="34"/>
      <c r="VBU10" s="34"/>
      <c r="VBV10" s="34"/>
      <c r="VBW10" s="34"/>
      <c r="VBX10" s="34"/>
      <c r="VBY10" s="34"/>
      <c r="VBZ10" s="34"/>
      <c r="VCA10" s="34"/>
      <c r="VCB10" s="34"/>
      <c r="VCC10" s="34"/>
      <c r="VCD10" s="34"/>
      <c r="VCE10" s="34"/>
      <c r="VCF10" s="34"/>
      <c r="VCG10" s="34"/>
      <c r="VCH10" s="34"/>
      <c r="VCI10" s="34"/>
      <c r="VCJ10" s="34"/>
      <c r="VCK10" s="34"/>
      <c r="VCL10" s="34"/>
      <c r="VCM10" s="34"/>
      <c r="VCN10" s="34"/>
      <c r="VCO10" s="34"/>
      <c r="VCP10" s="34"/>
      <c r="VCQ10" s="34"/>
      <c r="VCR10" s="34"/>
      <c r="VCS10" s="34"/>
      <c r="VCT10" s="34"/>
      <c r="VCU10" s="34"/>
      <c r="VCV10" s="34"/>
      <c r="VCW10" s="34"/>
      <c r="VCX10" s="34"/>
      <c r="VCY10" s="34"/>
      <c r="VCZ10" s="34"/>
      <c r="VDA10" s="34"/>
      <c r="VDB10" s="34"/>
      <c r="VDC10" s="34"/>
      <c r="VDD10" s="34"/>
      <c r="VDE10" s="34"/>
      <c r="VDF10" s="34"/>
      <c r="VDG10" s="34"/>
      <c r="VDH10" s="34"/>
      <c r="VDI10" s="34"/>
      <c r="VDJ10" s="34"/>
      <c r="VDK10" s="34"/>
      <c r="VDL10" s="34"/>
      <c r="VDM10" s="34"/>
      <c r="VDN10" s="34"/>
      <c r="VDO10" s="34"/>
      <c r="VDP10" s="34"/>
      <c r="VDQ10" s="34"/>
      <c r="VDR10" s="34"/>
      <c r="VDS10" s="34"/>
      <c r="VDT10" s="34"/>
      <c r="VDU10" s="34"/>
      <c r="VDV10" s="34"/>
      <c r="VDW10" s="34"/>
      <c r="VDX10" s="34"/>
      <c r="VDY10" s="34"/>
      <c r="VDZ10" s="34"/>
      <c r="VEA10" s="34"/>
      <c r="VEB10" s="34"/>
      <c r="VEC10" s="34"/>
      <c r="VED10" s="34"/>
      <c r="VEE10" s="34"/>
      <c r="VEF10" s="34"/>
      <c r="VEG10" s="34"/>
      <c r="VEH10" s="34"/>
      <c r="VEI10" s="34"/>
      <c r="VEJ10" s="34"/>
      <c r="VEK10" s="34"/>
      <c r="VEL10" s="34"/>
      <c r="VEM10" s="34"/>
      <c r="VEN10" s="34"/>
      <c r="VEO10" s="34"/>
      <c r="VEP10" s="34"/>
      <c r="VEQ10" s="34"/>
      <c r="VER10" s="34"/>
      <c r="VES10" s="34"/>
      <c r="VET10" s="34"/>
      <c r="VEU10" s="34"/>
      <c r="VEV10" s="34"/>
      <c r="VEW10" s="34"/>
      <c r="VEX10" s="34"/>
      <c r="VEY10" s="34"/>
      <c r="VEZ10" s="34"/>
      <c r="VFA10" s="34"/>
      <c r="VFB10" s="34"/>
      <c r="VFC10" s="34"/>
      <c r="VFD10" s="34"/>
      <c r="VFE10" s="34"/>
      <c r="VFF10" s="34"/>
      <c r="VFG10" s="34"/>
      <c r="VFH10" s="34"/>
      <c r="VFI10" s="34"/>
      <c r="VFJ10" s="34"/>
      <c r="VFK10" s="34"/>
      <c r="VFL10" s="34"/>
      <c r="VFM10" s="34"/>
      <c r="VFN10" s="34"/>
      <c r="VFO10" s="34"/>
      <c r="VFP10" s="34"/>
      <c r="VFQ10" s="34"/>
      <c r="VFR10" s="34"/>
      <c r="VFS10" s="34"/>
      <c r="VFT10" s="34"/>
      <c r="VFU10" s="34"/>
      <c r="VFV10" s="34"/>
      <c r="VFW10" s="34"/>
      <c r="VFX10" s="34"/>
      <c r="VFY10" s="34"/>
      <c r="VFZ10" s="34"/>
      <c r="VGA10" s="34"/>
      <c r="VGB10" s="34"/>
      <c r="VGC10" s="34"/>
      <c r="VGD10" s="34"/>
      <c r="VGE10" s="34"/>
      <c r="VGF10" s="34"/>
      <c r="VGG10" s="34"/>
      <c r="VGH10" s="34"/>
      <c r="VGI10" s="34"/>
      <c r="VGJ10" s="34"/>
      <c r="VGK10" s="34"/>
      <c r="VGL10" s="34"/>
      <c r="VGM10" s="34"/>
      <c r="VGN10" s="34"/>
      <c r="VGO10" s="34"/>
      <c r="VGP10" s="34"/>
      <c r="VGQ10" s="34"/>
      <c r="VGR10" s="34"/>
      <c r="VGS10" s="34"/>
      <c r="VGT10" s="34"/>
      <c r="VGU10" s="34"/>
      <c r="VGV10" s="34"/>
      <c r="VGW10" s="34"/>
      <c r="VGX10" s="34"/>
      <c r="VGY10" s="34"/>
      <c r="VGZ10" s="34"/>
      <c r="VHA10" s="34"/>
      <c r="VHB10" s="34"/>
      <c r="VHC10" s="34"/>
      <c r="VHD10" s="34"/>
      <c r="VHE10" s="34"/>
      <c r="VHF10" s="34"/>
      <c r="VHG10" s="34"/>
      <c r="VHH10" s="34"/>
      <c r="VHI10" s="34"/>
      <c r="VHJ10" s="34"/>
      <c r="VHK10" s="34"/>
      <c r="VHL10" s="34"/>
      <c r="VHM10" s="34"/>
      <c r="VHN10" s="34"/>
      <c r="VHO10" s="34"/>
      <c r="VHP10" s="34"/>
      <c r="VHQ10" s="34"/>
      <c r="VHR10" s="34"/>
      <c r="VHS10" s="34"/>
      <c r="VHT10" s="34"/>
      <c r="VHU10" s="34"/>
      <c r="VHV10" s="34"/>
      <c r="VHW10" s="34"/>
      <c r="VHX10" s="34"/>
      <c r="VHY10" s="34"/>
      <c r="VHZ10" s="34"/>
      <c r="VIA10" s="34"/>
      <c r="VIB10" s="34"/>
      <c r="VIC10" s="34"/>
      <c r="VID10" s="34"/>
      <c r="VIE10" s="34"/>
      <c r="VIF10" s="34"/>
      <c r="VIG10" s="34"/>
      <c r="VIH10" s="34"/>
      <c r="VII10" s="34"/>
      <c r="VIJ10" s="34"/>
      <c r="VIK10" s="34"/>
      <c r="VIL10" s="34"/>
      <c r="VIM10" s="34"/>
      <c r="VIN10" s="34"/>
      <c r="VIO10" s="34"/>
      <c r="VIP10" s="34"/>
      <c r="VIQ10" s="34"/>
      <c r="VIR10" s="34"/>
      <c r="VIS10" s="34"/>
      <c r="VIT10" s="34"/>
      <c r="VIU10" s="34"/>
      <c r="VIV10" s="34"/>
      <c r="VIW10" s="34"/>
      <c r="VIX10" s="34"/>
      <c r="VIY10" s="34"/>
      <c r="VIZ10" s="34"/>
      <c r="VJA10" s="34"/>
      <c r="VJB10" s="34"/>
      <c r="VJC10" s="34"/>
      <c r="VJD10" s="34"/>
      <c r="VJE10" s="34"/>
      <c r="VJF10" s="34"/>
      <c r="VJG10" s="34"/>
      <c r="VJH10" s="34"/>
      <c r="VJI10" s="34"/>
      <c r="VJJ10" s="34"/>
      <c r="VJK10" s="34"/>
      <c r="VJL10" s="34"/>
      <c r="VJM10" s="34"/>
      <c r="VJN10" s="34"/>
      <c r="VJO10" s="34"/>
      <c r="VJP10" s="34"/>
      <c r="VJQ10" s="34"/>
      <c r="VJR10" s="34"/>
      <c r="VJS10" s="34"/>
      <c r="VJT10" s="34"/>
      <c r="VJU10" s="34"/>
      <c r="VJV10" s="34"/>
      <c r="VJW10" s="34"/>
      <c r="VJX10" s="34"/>
      <c r="VJY10" s="34"/>
      <c r="VJZ10" s="34"/>
      <c r="VKA10" s="34"/>
      <c r="VKB10" s="34"/>
      <c r="VKC10" s="34"/>
      <c r="VKD10" s="34"/>
      <c r="VKE10" s="34"/>
      <c r="VKF10" s="34"/>
      <c r="VKG10" s="34"/>
      <c r="VKH10" s="34"/>
      <c r="VKI10" s="34"/>
      <c r="VKJ10" s="34"/>
      <c r="VKK10" s="34"/>
      <c r="VKL10" s="34"/>
      <c r="VKM10" s="34"/>
      <c r="VKN10" s="34"/>
      <c r="VKO10" s="34"/>
      <c r="VKP10" s="34"/>
      <c r="VKQ10" s="34"/>
      <c r="VKR10" s="34"/>
      <c r="VKS10" s="34"/>
      <c r="VKT10" s="34"/>
      <c r="VKU10" s="34"/>
      <c r="VKV10" s="34"/>
      <c r="VKW10" s="34"/>
      <c r="VKX10" s="34"/>
      <c r="VKY10" s="34"/>
      <c r="VKZ10" s="34"/>
      <c r="VLA10" s="34"/>
      <c r="VLB10" s="34"/>
      <c r="VLC10" s="34"/>
      <c r="VLD10" s="34"/>
      <c r="VLE10" s="34"/>
      <c r="VLF10" s="34"/>
      <c r="VLG10" s="34"/>
      <c r="VLH10" s="34"/>
      <c r="VLI10" s="34"/>
      <c r="VLJ10" s="34"/>
      <c r="VLK10" s="34"/>
      <c r="VLL10" s="34"/>
      <c r="VLM10" s="34"/>
      <c r="VLN10" s="34"/>
      <c r="VLO10" s="34"/>
      <c r="VLP10" s="34"/>
      <c r="VLQ10" s="34"/>
      <c r="VLR10" s="34"/>
      <c r="VLS10" s="34"/>
      <c r="VLT10" s="34"/>
      <c r="VLU10" s="34"/>
      <c r="VLV10" s="34"/>
      <c r="VLW10" s="34"/>
      <c r="VLX10" s="34"/>
      <c r="VLY10" s="34"/>
      <c r="VLZ10" s="34"/>
      <c r="VMA10" s="34"/>
      <c r="VMB10" s="34"/>
      <c r="VMC10" s="34"/>
      <c r="VMD10" s="34"/>
      <c r="VME10" s="34"/>
      <c r="VMF10" s="34"/>
      <c r="VMG10" s="34"/>
      <c r="VMH10" s="34"/>
      <c r="VMI10" s="34"/>
      <c r="VMJ10" s="34"/>
      <c r="VMK10" s="34"/>
      <c r="VML10" s="34"/>
      <c r="VMM10" s="34"/>
      <c r="VMN10" s="34"/>
      <c r="VMO10" s="34"/>
      <c r="VMP10" s="34"/>
      <c r="VMQ10" s="34"/>
      <c r="VMR10" s="34"/>
      <c r="VMS10" s="34"/>
      <c r="VMT10" s="34"/>
      <c r="VMU10" s="34"/>
      <c r="VMV10" s="34"/>
      <c r="VMW10" s="34"/>
      <c r="VMX10" s="34"/>
      <c r="VMY10" s="34"/>
      <c r="VMZ10" s="34"/>
      <c r="VNA10" s="34"/>
      <c r="VNB10" s="34"/>
      <c r="VNC10" s="34"/>
      <c r="VND10" s="34"/>
      <c r="VNE10" s="34"/>
      <c r="VNF10" s="34"/>
      <c r="VNG10" s="34"/>
      <c r="VNH10" s="34"/>
      <c r="VNI10" s="34"/>
      <c r="VNJ10" s="34"/>
      <c r="VNK10" s="34"/>
      <c r="VNL10" s="34"/>
      <c r="VNM10" s="34"/>
      <c r="VNN10" s="34"/>
      <c r="VNO10" s="34"/>
      <c r="VNP10" s="34"/>
      <c r="VNQ10" s="34"/>
      <c r="VNR10" s="34"/>
      <c r="VNS10" s="34"/>
      <c r="VNT10" s="34"/>
      <c r="VNU10" s="34"/>
      <c r="VNV10" s="34"/>
      <c r="VNW10" s="34"/>
      <c r="VNX10" s="34"/>
      <c r="VNY10" s="34"/>
      <c r="VNZ10" s="34"/>
      <c r="VOA10" s="34"/>
      <c r="VOB10" s="34"/>
      <c r="VOC10" s="34"/>
      <c r="VOD10" s="34"/>
      <c r="VOE10" s="34"/>
      <c r="VOF10" s="34"/>
      <c r="VOG10" s="34"/>
      <c r="VOH10" s="34"/>
      <c r="VOI10" s="34"/>
      <c r="VOJ10" s="34"/>
      <c r="VOK10" s="34"/>
      <c r="VOL10" s="34"/>
      <c r="VOM10" s="34"/>
      <c r="VON10" s="34"/>
      <c r="VOO10" s="34"/>
      <c r="VOP10" s="34"/>
      <c r="VOQ10" s="34"/>
      <c r="VOR10" s="34"/>
      <c r="VOS10" s="34"/>
      <c r="VOT10" s="34"/>
      <c r="VOU10" s="34"/>
      <c r="VOV10" s="34"/>
      <c r="VOW10" s="34"/>
      <c r="VOX10" s="34"/>
      <c r="VOY10" s="34"/>
      <c r="VOZ10" s="34"/>
      <c r="VPA10" s="34"/>
      <c r="VPB10" s="34"/>
      <c r="VPC10" s="34"/>
      <c r="VPD10" s="34"/>
      <c r="VPE10" s="34"/>
      <c r="VPF10" s="34"/>
      <c r="VPG10" s="34"/>
      <c r="VPH10" s="34"/>
      <c r="VPI10" s="34"/>
      <c r="VPJ10" s="34"/>
      <c r="VPK10" s="34"/>
      <c r="VPL10" s="34"/>
      <c r="VPM10" s="34"/>
      <c r="VPN10" s="34"/>
      <c r="VPO10" s="34"/>
      <c r="VPP10" s="34"/>
      <c r="VPQ10" s="34"/>
      <c r="VPR10" s="34"/>
      <c r="VPS10" s="34"/>
      <c r="VPT10" s="34"/>
      <c r="VPU10" s="34"/>
      <c r="VPV10" s="34"/>
      <c r="VPW10" s="34"/>
      <c r="VPX10" s="34"/>
      <c r="VPY10" s="34"/>
      <c r="VPZ10" s="34"/>
      <c r="VQA10" s="34"/>
      <c r="VQB10" s="34"/>
      <c r="VQC10" s="34"/>
      <c r="VQD10" s="34"/>
      <c r="VQE10" s="34"/>
      <c r="VQF10" s="34"/>
      <c r="VQG10" s="34"/>
      <c r="VQH10" s="34"/>
      <c r="VQI10" s="34"/>
      <c r="VQJ10" s="34"/>
      <c r="VQK10" s="34"/>
      <c r="VQL10" s="34"/>
      <c r="VQM10" s="34"/>
      <c r="VQN10" s="34"/>
      <c r="VQO10" s="34"/>
      <c r="VQP10" s="34"/>
      <c r="VQQ10" s="34"/>
      <c r="VQR10" s="34"/>
      <c r="VQS10" s="34"/>
      <c r="VQT10" s="34"/>
      <c r="VQU10" s="34"/>
      <c r="VQV10" s="34"/>
      <c r="VQW10" s="34"/>
      <c r="VQX10" s="34"/>
      <c r="VQY10" s="34"/>
      <c r="VQZ10" s="34"/>
      <c r="VRA10" s="34"/>
      <c r="VRB10" s="34"/>
      <c r="VRC10" s="34"/>
      <c r="VRD10" s="34"/>
      <c r="VRE10" s="34"/>
      <c r="VRF10" s="34"/>
      <c r="VRG10" s="34"/>
      <c r="VRH10" s="34"/>
      <c r="VRI10" s="34"/>
      <c r="VRJ10" s="34"/>
      <c r="VRK10" s="34"/>
      <c r="VRL10" s="34"/>
      <c r="VRM10" s="34"/>
      <c r="VRN10" s="34"/>
      <c r="VRO10" s="34"/>
      <c r="VRP10" s="34"/>
      <c r="VRQ10" s="34"/>
      <c r="VRR10" s="34"/>
      <c r="VRS10" s="34"/>
      <c r="VRT10" s="34"/>
      <c r="VRU10" s="34"/>
      <c r="VRV10" s="34"/>
      <c r="VRW10" s="34"/>
      <c r="VRX10" s="34"/>
      <c r="VRY10" s="34"/>
      <c r="VRZ10" s="34"/>
      <c r="VSA10" s="34"/>
      <c r="VSB10" s="34"/>
      <c r="VSC10" s="34"/>
      <c r="VSD10" s="34"/>
      <c r="VSE10" s="34"/>
      <c r="VSF10" s="34"/>
      <c r="VSG10" s="34"/>
      <c r="VSH10" s="34"/>
      <c r="VSI10" s="34"/>
      <c r="VSJ10" s="34"/>
      <c r="VSK10" s="34"/>
      <c r="VSL10" s="34"/>
      <c r="VSM10" s="34"/>
      <c r="VSN10" s="34"/>
      <c r="VSO10" s="34"/>
      <c r="VSP10" s="34"/>
      <c r="VSQ10" s="34"/>
      <c r="VSR10" s="34"/>
      <c r="VSS10" s="34"/>
      <c r="VST10" s="34"/>
      <c r="VSU10" s="34"/>
      <c r="VSV10" s="34"/>
      <c r="VSW10" s="34"/>
      <c r="VSX10" s="34"/>
      <c r="VSY10" s="34"/>
      <c r="VSZ10" s="34"/>
      <c r="VTA10" s="34"/>
      <c r="VTB10" s="34"/>
      <c r="VTC10" s="34"/>
      <c r="VTD10" s="34"/>
      <c r="VTE10" s="34"/>
      <c r="VTF10" s="34"/>
      <c r="VTG10" s="34"/>
      <c r="VTH10" s="34"/>
      <c r="VTI10" s="34"/>
      <c r="VTJ10" s="34"/>
      <c r="VTK10" s="34"/>
      <c r="VTL10" s="34"/>
      <c r="VTM10" s="34"/>
      <c r="VTN10" s="34"/>
      <c r="VTO10" s="34"/>
      <c r="VTP10" s="34"/>
      <c r="VTQ10" s="34"/>
      <c r="VTR10" s="34"/>
      <c r="VTS10" s="34"/>
      <c r="VTT10" s="34"/>
      <c r="VTU10" s="34"/>
      <c r="VTV10" s="34"/>
      <c r="VTW10" s="34"/>
      <c r="VTX10" s="34"/>
      <c r="VTY10" s="34"/>
      <c r="VTZ10" s="34"/>
      <c r="VUA10" s="34"/>
      <c r="VUB10" s="34"/>
      <c r="VUC10" s="34"/>
      <c r="VUD10" s="34"/>
      <c r="VUE10" s="34"/>
      <c r="VUF10" s="34"/>
      <c r="VUG10" s="34"/>
      <c r="VUH10" s="34"/>
      <c r="VUI10" s="34"/>
      <c r="VUJ10" s="34"/>
      <c r="VUK10" s="34"/>
      <c r="VUL10" s="34"/>
      <c r="VUM10" s="34"/>
      <c r="VUN10" s="34"/>
      <c r="VUO10" s="34"/>
      <c r="VUP10" s="34"/>
      <c r="VUQ10" s="34"/>
      <c r="VUR10" s="34"/>
      <c r="VUS10" s="34"/>
      <c r="VUT10" s="34"/>
      <c r="VUU10" s="34"/>
      <c r="VUV10" s="34"/>
      <c r="VUW10" s="34"/>
      <c r="VUX10" s="34"/>
      <c r="VUY10" s="34"/>
      <c r="VUZ10" s="34"/>
      <c r="VVA10" s="34"/>
      <c r="VVB10" s="34"/>
      <c r="VVC10" s="34"/>
      <c r="VVD10" s="34"/>
      <c r="VVE10" s="34"/>
      <c r="VVF10" s="34"/>
      <c r="VVG10" s="34"/>
      <c r="VVH10" s="34"/>
      <c r="VVI10" s="34"/>
      <c r="VVJ10" s="34"/>
      <c r="VVK10" s="34"/>
      <c r="VVL10" s="34"/>
      <c r="VVM10" s="34"/>
      <c r="VVN10" s="34"/>
      <c r="VVO10" s="34"/>
      <c r="VVP10" s="34"/>
      <c r="VVQ10" s="34"/>
      <c r="VVR10" s="34"/>
      <c r="VVS10" s="34"/>
      <c r="VVT10" s="34"/>
      <c r="VVU10" s="34"/>
      <c r="VVV10" s="34"/>
      <c r="VVW10" s="34"/>
      <c r="VVX10" s="34"/>
      <c r="VVY10" s="34"/>
      <c r="VVZ10" s="34"/>
      <c r="VWA10" s="34"/>
      <c r="VWB10" s="34"/>
      <c r="VWC10" s="34"/>
      <c r="VWD10" s="34"/>
      <c r="VWE10" s="34"/>
      <c r="VWF10" s="34"/>
      <c r="VWG10" s="34"/>
      <c r="VWH10" s="34"/>
      <c r="VWI10" s="34"/>
      <c r="VWJ10" s="34"/>
      <c r="VWK10" s="34"/>
      <c r="VWL10" s="34"/>
      <c r="VWM10" s="34"/>
      <c r="VWN10" s="34"/>
      <c r="VWO10" s="34"/>
      <c r="VWP10" s="34"/>
      <c r="VWQ10" s="34"/>
      <c r="VWR10" s="34"/>
      <c r="VWS10" s="34"/>
      <c r="VWT10" s="34"/>
      <c r="VWU10" s="34"/>
      <c r="VWV10" s="34"/>
      <c r="VWW10" s="34"/>
      <c r="VWX10" s="34"/>
      <c r="VWY10" s="34"/>
      <c r="VWZ10" s="34"/>
      <c r="VXA10" s="34"/>
      <c r="VXB10" s="34"/>
      <c r="VXC10" s="34"/>
      <c r="VXD10" s="34"/>
      <c r="VXE10" s="34"/>
      <c r="VXF10" s="34"/>
      <c r="VXG10" s="34"/>
      <c r="VXH10" s="34"/>
      <c r="VXI10" s="34"/>
      <c r="VXJ10" s="34"/>
      <c r="VXK10" s="34"/>
      <c r="VXL10" s="34"/>
      <c r="VXM10" s="34"/>
      <c r="VXN10" s="34"/>
      <c r="VXO10" s="34"/>
      <c r="VXP10" s="34"/>
      <c r="VXQ10" s="34"/>
      <c r="VXR10" s="34"/>
      <c r="VXS10" s="34"/>
      <c r="VXT10" s="34"/>
      <c r="VXU10" s="34"/>
      <c r="VXV10" s="34"/>
      <c r="VXW10" s="34"/>
      <c r="VXX10" s="34"/>
      <c r="VXY10" s="34"/>
      <c r="VXZ10" s="34"/>
      <c r="VYA10" s="34"/>
      <c r="VYB10" s="34"/>
      <c r="VYC10" s="34"/>
      <c r="VYD10" s="34"/>
      <c r="VYE10" s="34"/>
      <c r="VYF10" s="34"/>
      <c r="VYG10" s="34"/>
      <c r="VYH10" s="34"/>
      <c r="VYI10" s="34"/>
      <c r="VYJ10" s="34"/>
      <c r="VYK10" s="34"/>
      <c r="VYL10" s="34"/>
      <c r="VYM10" s="34"/>
      <c r="VYN10" s="34"/>
      <c r="VYO10" s="34"/>
      <c r="VYP10" s="34"/>
      <c r="VYQ10" s="34"/>
      <c r="VYR10" s="34"/>
      <c r="VYS10" s="34"/>
      <c r="VYT10" s="34"/>
      <c r="VYU10" s="34"/>
      <c r="VYV10" s="34"/>
      <c r="VYW10" s="34"/>
      <c r="VYX10" s="34"/>
      <c r="VYY10" s="34"/>
      <c r="VYZ10" s="34"/>
      <c r="VZA10" s="34"/>
      <c r="VZB10" s="34"/>
      <c r="VZC10" s="34"/>
      <c r="VZD10" s="34"/>
      <c r="VZE10" s="34"/>
      <c r="VZF10" s="34"/>
      <c r="VZG10" s="34"/>
      <c r="VZH10" s="34"/>
      <c r="VZI10" s="34"/>
      <c r="VZJ10" s="34"/>
      <c r="VZK10" s="34"/>
      <c r="VZL10" s="34"/>
      <c r="VZM10" s="34"/>
      <c r="VZN10" s="34"/>
      <c r="VZO10" s="34"/>
      <c r="VZP10" s="34"/>
      <c r="VZQ10" s="34"/>
      <c r="VZR10" s="34"/>
      <c r="VZS10" s="34"/>
      <c r="VZT10" s="34"/>
      <c r="VZU10" s="34"/>
      <c r="VZV10" s="34"/>
      <c r="VZW10" s="34"/>
      <c r="VZX10" s="34"/>
      <c r="VZY10" s="34"/>
      <c r="VZZ10" s="34"/>
      <c r="WAA10" s="34"/>
      <c r="WAB10" s="34"/>
      <c r="WAC10" s="34"/>
      <c r="WAD10" s="34"/>
      <c r="WAE10" s="34"/>
      <c r="WAF10" s="34"/>
      <c r="WAG10" s="34"/>
      <c r="WAH10" s="34"/>
      <c r="WAI10" s="34"/>
      <c r="WAJ10" s="34"/>
      <c r="WAK10" s="34"/>
      <c r="WAL10" s="34"/>
      <c r="WAM10" s="34"/>
      <c r="WAN10" s="34"/>
      <c r="WAO10" s="34"/>
      <c r="WAP10" s="34"/>
      <c r="WAQ10" s="34"/>
      <c r="WAR10" s="34"/>
      <c r="WAS10" s="34"/>
      <c r="WAT10" s="34"/>
      <c r="WAU10" s="34"/>
      <c r="WAV10" s="34"/>
      <c r="WAW10" s="34"/>
      <c r="WAX10" s="34"/>
      <c r="WAY10" s="34"/>
      <c r="WAZ10" s="34"/>
      <c r="WBA10" s="34"/>
      <c r="WBB10" s="34"/>
      <c r="WBC10" s="34"/>
      <c r="WBD10" s="34"/>
      <c r="WBE10" s="34"/>
      <c r="WBF10" s="34"/>
      <c r="WBG10" s="34"/>
      <c r="WBH10" s="34"/>
      <c r="WBI10" s="34"/>
      <c r="WBJ10" s="34"/>
      <c r="WBK10" s="34"/>
      <c r="WBL10" s="34"/>
      <c r="WBM10" s="34"/>
      <c r="WBN10" s="34"/>
      <c r="WBO10" s="34"/>
      <c r="WBP10" s="34"/>
      <c r="WBQ10" s="34"/>
      <c r="WBR10" s="34"/>
      <c r="WBS10" s="34"/>
      <c r="WBT10" s="34"/>
      <c r="WBU10" s="34"/>
      <c r="WBV10" s="34"/>
      <c r="WBW10" s="34"/>
      <c r="WBX10" s="34"/>
      <c r="WBY10" s="34"/>
      <c r="WBZ10" s="34"/>
      <c r="WCA10" s="34"/>
      <c r="WCB10" s="34"/>
      <c r="WCC10" s="34"/>
      <c r="WCD10" s="34"/>
      <c r="WCE10" s="34"/>
      <c r="WCF10" s="34"/>
      <c r="WCG10" s="34"/>
      <c r="WCH10" s="34"/>
      <c r="WCI10" s="34"/>
      <c r="WCJ10" s="34"/>
      <c r="WCK10" s="34"/>
      <c r="WCL10" s="34"/>
      <c r="WCM10" s="34"/>
      <c r="WCN10" s="34"/>
      <c r="WCO10" s="34"/>
      <c r="WCP10" s="34"/>
      <c r="WCQ10" s="34"/>
      <c r="WCR10" s="34"/>
      <c r="WCS10" s="34"/>
      <c r="WCT10" s="34"/>
      <c r="WCU10" s="34"/>
      <c r="WCV10" s="34"/>
      <c r="WCW10" s="34"/>
      <c r="WCX10" s="34"/>
      <c r="WCY10" s="34"/>
      <c r="WCZ10" s="34"/>
      <c r="WDA10" s="34"/>
      <c r="WDB10" s="34"/>
      <c r="WDC10" s="34"/>
      <c r="WDD10" s="34"/>
      <c r="WDE10" s="34"/>
      <c r="WDF10" s="34"/>
      <c r="WDG10" s="34"/>
      <c r="WDH10" s="34"/>
      <c r="WDI10" s="34"/>
      <c r="WDJ10" s="34"/>
      <c r="WDK10" s="34"/>
      <c r="WDL10" s="34"/>
      <c r="WDM10" s="34"/>
      <c r="WDN10" s="34"/>
      <c r="WDO10" s="34"/>
      <c r="WDP10" s="34"/>
      <c r="WDQ10" s="34"/>
      <c r="WDR10" s="34"/>
      <c r="WDS10" s="34"/>
      <c r="WDT10" s="34"/>
      <c r="WDU10" s="34"/>
      <c r="WDV10" s="34"/>
      <c r="WDW10" s="34"/>
      <c r="WDX10" s="34"/>
      <c r="WDY10" s="34"/>
      <c r="WDZ10" s="34"/>
      <c r="WEA10" s="34"/>
      <c r="WEB10" s="34"/>
      <c r="WEC10" s="34"/>
      <c r="WED10" s="34"/>
      <c r="WEE10" s="34"/>
      <c r="WEF10" s="34"/>
      <c r="WEG10" s="34"/>
      <c r="WEH10" s="34"/>
      <c r="WEI10" s="34"/>
      <c r="WEJ10" s="34"/>
      <c r="WEK10" s="34"/>
      <c r="WEL10" s="34"/>
      <c r="WEM10" s="34"/>
      <c r="WEN10" s="34"/>
      <c r="WEO10" s="34"/>
      <c r="WEP10" s="34"/>
      <c r="WEQ10" s="34"/>
      <c r="WER10" s="34"/>
      <c r="WES10" s="34"/>
      <c r="WET10" s="34"/>
      <c r="WEU10" s="34"/>
      <c r="WEV10" s="34"/>
      <c r="WEW10" s="34"/>
      <c r="WEX10" s="34"/>
      <c r="WEY10" s="34"/>
      <c r="WEZ10" s="34"/>
      <c r="WFA10" s="34"/>
      <c r="WFB10" s="34"/>
      <c r="WFC10" s="34"/>
      <c r="WFD10" s="34"/>
      <c r="WFE10" s="34"/>
      <c r="WFF10" s="34"/>
      <c r="WFG10" s="34"/>
      <c r="WFH10" s="34"/>
      <c r="WFI10" s="34"/>
      <c r="WFJ10" s="34"/>
      <c r="WFK10" s="34"/>
      <c r="WFL10" s="34"/>
      <c r="WFM10" s="34"/>
      <c r="WFN10" s="34"/>
      <c r="WFO10" s="34"/>
      <c r="WFP10" s="34"/>
      <c r="WFQ10" s="34"/>
      <c r="WFR10" s="34"/>
      <c r="WFS10" s="34"/>
      <c r="WFT10" s="34"/>
      <c r="WFU10" s="34"/>
      <c r="WFV10" s="34"/>
      <c r="WFW10" s="34"/>
      <c r="WFX10" s="34"/>
      <c r="WFY10" s="34"/>
      <c r="WFZ10" s="34"/>
      <c r="WGA10" s="34"/>
      <c r="WGB10" s="34"/>
      <c r="WGC10" s="34"/>
      <c r="WGD10" s="34"/>
      <c r="WGE10" s="34"/>
      <c r="WGF10" s="34"/>
      <c r="WGG10" s="34"/>
      <c r="WGH10" s="34"/>
      <c r="WGI10" s="34"/>
      <c r="WGJ10" s="34"/>
      <c r="WGK10" s="34"/>
      <c r="WGL10" s="34"/>
      <c r="WGM10" s="34"/>
      <c r="WGN10" s="34"/>
      <c r="WGO10" s="34"/>
      <c r="WGP10" s="34"/>
      <c r="WGQ10" s="34"/>
      <c r="WGR10" s="34"/>
      <c r="WGS10" s="34"/>
      <c r="WGT10" s="34"/>
      <c r="WGU10" s="34"/>
      <c r="WGV10" s="34"/>
      <c r="WGW10" s="34"/>
      <c r="WGX10" s="34"/>
      <c r="WGY10" s="34"/>
      <c r="WGZ10" s="34"/>
      <c r="WHA10" s="34"/>
      <c r="WHB10" s="34"/>
      <c r="WHC10" s="34"/>
      <c r="WHD10" s="34"/>
      <c r="WHE10" s="34"/>
      <c r="WHF10" s="34"/>
      <c r="WHG10" s="34"/>
      <c r="WHH10" s="34"/>
      <c r="WHI10" s="34"/>
      <c r="WHJ10" s="34"/>
      <c r="WHK10" s="34"/>
      <c r="WHL10" s="34"/>
      <c r="WHM10" s="34"/>
      <c r="WHN10" s="34"/>
      <c r="WHO10" s="34"/>
      <c r="WHP10" s="34"/>
      <c r="WHQ10" s="34"/>
      <c r="WHR10" s="34"/>
      <c r="WHS10" s="34"/>
      <c r="WHT10" s="34"/>
      <c r="WHU10" s="34"/>
      <c r="WHV10" s="34"/>
      <c r="WHW10" s="34"/>
      <c r="WHX10" s="34"/>
      <c r="WHY10" s="34"/>
      <c r="WHZ10" s="34"/>
      <c r="WIA10" s="34"/>
      <c r="WIB10" s="34"/>
      <c r="WIC10" s="34"/>
      <c r="WID10" s="34"/>
      <c r="WIE10" s="34"/>
      <c r="WIF10" s="34"/>
      <c r="WIG10" s="34"/>
      <c r="WIH10" s="34"/>
      <c r="WII10" s="34"/>
      <c r="WIJ10" s="34"/>
      <c r="WIK10" s="34"/>
      <c r="WIL10" s="34"/>
      <c r="WIM10" s="34"/>
      <c r="WIN10" s="34"/>
      <c r="WIO10" s="34"/>
      <c r="WIP10" s="34"/>
      <c r="WIQ10" s="34"/>
      <c r="WIR10" s="34"/>
      <c r="WIS10" s="34"/>
      <c r="WIT10" s="34"/>
      <c r="WIU10" s="34"/>
      <c r="WIV10" s="34"/>
      <c r="WIW10" s="34"/>
      <c r="WIX10" s="34"/>
      <c r="WIY10" s="34"/>
      <c r="WIZ10" s="34"/>
      <c r="WJA10" s="34"/>
      <c r="WJB10" s="34"/>
      <c r="WJC10" s="34"/>
      <c r="WJD10" s="34"/>
      <c r="WJE10" s="34"/>
      <c r="WJF10" s="34"/>
      <c r="WJG10" s="34"/>
      <c r="WJH10" s="34"/>
      <c r="WJI10" s="34"/>
      <c r="WJJ10" s="34"/>
      <c r="WJK10" s="34"/>
      <c r="WJL10" s="34"/>
      <c r="WJM10" s="34"/>
      <c r="WJN10" s="34"/>
      <c r="WJO10" s="34"/>
      <c r="WJP10" s="34"/>
      <c r="WJQ10" s="34"/>
      <c r="WJR10" s="34"/>
      <c r="WJS10" s="34"/>
      <c r="WJT10" s="34"/>
      <c r="WJU10" s="34"/>
      <c r="WJV10" s="34"/>
      <c r="WJW10" s="34"/>
      <c r="WJX10" s="34"/>
      <c r="WJY10" s="34"/>
      <c r="WJZ10" s="34"/>
      <c r="WKA10" s="34"/>
      <c r="WKB10" s="34"/>
      <c r="WKC10" s="34"/>
      <c r="WKD10" s="34"/>
      <c r="WKE10" s="34"/>
      <c r="WKF10" s="34"/>
      <c r="WKG10" s="34"/>
      <c r="WKH10" s="34"/>
      <c r="WKI10" s="34"/>
      <c r="WKJ10" s="34"/>
      <c r="WKK10" s="34"/>
      <c r="WKL10" s="34"/>
      <c r="WKM10" s="34"/>
      <c r="WKN10" s="34"/>
      <c r="WKO10" s="34"/>
      <c r="WKP10" s="34"/>
      <c r="WKQ10" s="34"/>
      <c r="WKR10" s="34"/>
      <c r="WKS10" s="34"/>
      <c r="WKT10" s="34"/>
      <c r="WKU10" s="34"/>
      <c r="WKV10" s="34"/>
      <c r="WKW10" s="34"/>
      <c r="WKX10" s="34"/>
      <c r="WKY10" s="34"/>
      <c r="WKZ10" s="34"/>
      <c r="WLA10" s="34"/>
      <c r="WLB10" s="34"/>
      <c r="WLC10" s="34"/>
      <c r="WLD10" s="34"/>
      <c r="WLE10" s="34"/>
      <c r="WLF10" s="34"/>
      <c r="WLG10" s="34"/>
      <c r="WLH10" s="34"/>
      <c r="WLI10" s="34"/>
      <c r="WLJ10" s="34"/>
      <c r="WLK10" s="34"/>
      <c r="WLL10" s="34"/>
      <c r="WLM10" s="34"/>
      <c r="WLN10" s="34"/>
      <c r="WLO10" s="34"/>
      <c r="WLP10" s="34"/>
      <c r="WLQ10" s="34"/>
      <c r="WLR10" s="34"/>
      <c r="WLS10" s="34"/>
      <c r="WLT10" s="34"/>
      <c r="WLU10" s="34"/>
      <c r="WLV10" s="34"/>
      <c r="WLW10" s="34"/>
      <c r="WLX10" s="34"/>
      <c r="WLY10" s="34"/>
      <c r="WLZ10" s="34"/>
      <c r="WMA10" s="34"/>
      <c r="WMB10" s="34"/>
      <c r="WMC10" s="34"/>
      <c r="WMD10" s="34"/>
      <c r="WME10" s="34"/>
      <c r="WMF10" s="34"/>
      <c r="WMG10" s="34"/>
      <c r="WMH10" s="34"/>
      <c r="WMI10" s="34"/>
      <c r="WMJ10" s="34"/>
      <c r="WMK10" s="34"/>
      <c r="WML10" s="34"/>
      <c r="WMM10" s="34"/>
      <c r="WMN10" s="34"/>
      <c r="WMO10" s="34"/>
      <c r="WMP10" s="34"/>
      <c r="WMQ10" s="34"/>
      <c r="WMR10" s="34"/>
      <c r="WMS10" s="34"/>
      <c r="WMT10" s="34"/>
      <c r="WMU10" s="34"/>
      <c r="WMV10" s="34"/>
      <c r="WMW10" s="34"/>
      <c r="WMX10" s="34"/>
      <c r="WMY10" s="34"/>
      <c r="WMZ10" s="34"/>
      <c r="WNA10" s="34"/>
      <c r="WNB10" s="34"/>
      <c r="WNC10" s="34"/>
      <c r="WND10" s="34"/>
      <c r="WNE10" s="34"/>
      <c r="WNF10" s="34"/>
      <c r="WNG10" s="34"/>
      <c r="WNH10" s="34"/>
      <c r="WNI10" s="34"/>
      <c r="WNJ10" s="34"/>
      <c r="WNK10" s="34"/>
      <c r="WNL10" s="34"/>
      <c r="WNM10" s="34"/>
      <c r="WNN10" s="34"/>
      <c r="WNO10" s="34"/>
      <c r="WNP10" s="34"/>
      <c r="WNQ10" s="34"/>
      <c r="WNR10" s="34"/>
      <c r="WNS10" s="34"/>
      <c r="WNT10" s="34"/>
      <c r="WNU10" s="34"/>
      <c r="WNV10" s="34"/>
      <c r="WNW10" s="34"/>
      <c r="WNX10" s="34"/>
      <c r="WNY10" s="34"/>
      <c r="WNZ10" s="34"/>
      <c r="WOA10" s="34"/>
      <c r="WOB10" s="34"/>
      <c r="WOC10" s="34"/>
      <c r="WOD10" s="34"/>
      <c r="WOE10" s="34"/>
      <c r="WOF10" s="34"/>
      <c r="WOG10" s="34"/>
      <c r="WOH10" s="34"/>
      <c r="WOI10" s="34"/>
      <c r="WOJ10" s="34"/>
      <c r="WOK10" s="34"/>
      <c r="WOL10" s="34"/>
      <c r="WOM10" s="34"/>
      <c r="WON10" s="34"/>
      <c r="WOO10" s="34"/>
      <c r="WOP10" s="34"/>
      <c r="WOQ10" s="34"/>
      <c r="WOR10" s="34"/>
      <c r="WOS10" s="34"/>
      <c r="WOT10" s="34"/>
      <c r="WOU10" s="34"/>
      <c r="WOV10" s="34"/>
      <c r="WOW10" s="34"/>
      <c r="WOX10" s="34"/>
      <c r="WOY10" s="34"/>
      <c r="WOZ10" s="34"/>
      <c r="WPA10" s="34"/>
      <c r="WPB10" s="34"/>
      <c r="WPC10" s="34"/>
      <c r="WPD10" s="34"/>
      <c r="WPE10" s="34"/>
      <c r="WPF10" s="34"/>
      <c r="WPG10" s="34"/>
      <c r="WPH10" s="34"/>
      <c r="WPI10" s="34"/>
      <c r="WPJ10" s="34"/>
      <c r="WPK10" s="34"/>
      <c r="WPL10" s="34"/>
      <c r="WPM10" s="34"/>
      <c r="WPN10" s="34"/>
      <c r="WPO10" s="34"/>
      <c r="WPP10" s="34"/>
      <c r="WPQ10" s="34"/>
      <c r="WPR10" s="34"/>
      <c r="WPS10" s="34"/>
      <c r="WPT10" s="34"/>
      <c r="WPU10" s="34"/>
      <c r="WPV10" s="34"/>
      <c r="WPW10" s="34"/>
      <c r="WPX10" s="34"/>
      <c r="WPY10" s="34"/>
      <c r="WPZ10" s="34"/>
      <c r="WQA10" s="34"/>
      <c r="WQB10" s="34"/>
      <c r="WQC10" s="34"/>
      <c r="WQD10" s="34"/>
      <c r="WQE10" s="34"/>
      <c r="WQF10" s="34"/>
      <c r="WQG10" s="34"/>
      <c r="WQH10" s="34"/>
      <c r="WQI10" s="34"/>
      <c r="WQJ10" s="34"/>
      <c r="WQK10" s="34"/>
      <c r="WQL10" s="34"/>
      <c r="WQM10" s="34"/>
      <c r="WQN10" s="34"/>
      <c r="WQO10" s="34"/>
      <c r="WQP10" s="34"/>
      <c r="WQQ10" s="34"/>
      <c r="WQR10" s="34"/>
      <c r="WQS10" s="34"/>
      <c r="WQT10" s="34"/>
      <c r="WQU10" s="34"/>
      <c r="WQV10" s="34"/>
      <c r="WQW10" s="34"/>
      <c r="WQX10" s="34"/>
      <c r="WQY10" s="34"/>
      <c r="WQZ10" s="34"/>
      <c r="WRA10" s="34"/>
      <c r="WRB10" s="34"/>
      <c r="WRC10" s="34"/>
      <c r="WRD10" s="34"/>
      <c r="WRE10" s="34"/>
      <c r="WRF10" s="34"/>
      <c r="WRG10" s="34"/>
      <c r="WRH10" s="34"/>
      <c r="WRI10" s="34"/>
      <c r="WRJ10" s="34"/>
      <c r="WRK10" s="34"/>
      <c r="WRL10" s="34"/>
      <c r="WRM10" s="34"/>
      <c r="WRN10" s="34"/>
      <c r="WRO10" s="34"/>
      <c r="WRP10" s="34"/>
      <c r="WRQ10" s="34"/>
      <c r="WRR10" s="34"/>
      <c r="WRS10" s="34"/>
      <c r="WRT10" s="34"/>
      <c r="WRU10" s="34"/>
      <c r="WRV10" s="34"/>
      <c r="WRW10" s="34"/>
      <c r="WRX10" s="34"/>
      <c r="WRY10" s="34"/>
      <c r="WRZ10" s="34"/>
      <c r="WSA10" s="34"/>
      <c r="WSB10" s="34"/>
      <c r="WSC10" s="34"/>
      <c r="WSD10" s="34"/>
      <c r="WSE10" s="34"/>
      <c r="WSF10" s="34"/>
      <c r="WSG10" s="34"/>
      <c r="WSH10" s="34"/>
      <c r="WSI10" s="34"/>
      <c r="WSJ10" s="34"/>
      <c r="WSK10" s="34"/>
      <c r="WSL10" s="34"/>
      <c r="WSM10" s="34"/>
      <c r="WSN10" s="34"/>
      <c r="WSO10" s="34"/>
      <c r="WSP10" s="34"/>
      <c r="WSQ10" s="34"/>
      <c r="WSR10" s="34"/>
      <c r="WSS10" s="34"/>
      <c r="WST10" s="34"/>
      <c r="WSU10" s="34"/>
      <c r="WSV10" s="34"/>
      <c r="WSW10" s="34"/>
      <c r="WSX10" s="34"/>
      <c r="WSY10" s="34"/>
      <c r="WSZ10" s="34"/>
      <c r="WTA10" s="34"/>
      <c r="WTB10" s="34"/>
      <c r="WTC10" s="34"/>
      <c r="WTD10" s="34"/>
      <c r="WTE10" s="34"/>
      <c r="WTF10" s="34"/>
      <c r="WTG10" s="34"/>
      <c r="WTH10" s="34"/>
      <c r="WTI10" s="34"/>
      <c r="WTJ10" s="34"/>
      <c r="WTK10" s="34"/>
      <c r="WTL10" s="34"/>
      <c r="WTM10" s="34"/>
      <c r="WTN10" s="34"/>
      <c r="WTO10" s="34"/>
      <c r="WTP10" s="34"/>
      <c r="WTQ10" s="34"/>
      <c r="WTR10" s="34"/>
      <c r="WTS10" s="34"/>
      <c r="WTT10" s="34"/>
      <c r="WTU10" s="34"/>
      <c r="WTV10" s="34"/>
      <c r="WTW10" s="34"/>
      <c r="WTX10" s="34"/>
      <c r="WTY10" s="34"/>
      <c r="WTZ10" s="34"/>
      <c r="WUA10" s="34"/>
      <c r="WUB10" s="34"/>
      <c r="WUC10" s="34"/>
      <c r="WUD10" s="34"/>
      <c r="WUE10" s="34"/>
      <c r="WUF10" s="34"/>
      <c r="WUG10" s="34"/>
      <c r="WUH10" s="34"/>
      <c r="WUI10" s="34"/>
      <c r="WUJ10" s="34"/>
      <c r="WUK10" s="34"/>
      <c r="WUL10" s="34"/>
      <c r="WUM10" s="34"/>
      <c r="WUN10" s="34"/>
      <c r="WUO10" s="34"/>
      <c r="WUP10" s="34"/>
      <c r="WUQ10" s="34"/>
      <c r="WUR10" s="34"/>
      <c r="WUS10" s="34"/>
      <c r="WUT10" s="34"/>
      <c r="WUU10" s="34"/>
      <c r="WUV10" s="34"/>
      <c r="WUW10" s="34"/>
      <c r="WUX10" s="34"/>
      <c r="WUY10" s="34"/>
      <c r="WUZ10" s="34"/>
      <c r="WVA10" s="34"/>
      <c r="WVB10" s="34"/>
      <c r="WVC10" s="34"/>
      <c r="WVD10" s="34"/>
      <c r="WVE10" s="34"/>
      <c r="WVF10" s="34"/>
      <c r="WVG10" s="34"/>
      <c r="WVH10" s="34"/>
      <c r="WVI10" s="34"/>
      <c r="WVJ10" s="34"/>
      <c r="WVK10" s="34"/>
      <c r="WVL10" s="34"/>
      <c r="WVM10" s="34"/>
      <c r="WVN10" s="34"/>
      <c r="WVO10" s="34"/>
      <c r="WVP10" s="34"/>
      <c r="WVQ10" s="34"/>
      <c r="WVR10" s="34"/>
      <c r="WVS10" s="34"/>
      <c r="WVT10" s="34"/>
      <c r="WVU10" s="34"/>
      <c r="WVV10" s="34"/>
      <c r="WVW10" s="34"/>
      <c r="WVX10" s="34"/>
      <c r="WVY10" s="34"/>
      <c r="WVZ10" s="34"/>
      <c r="WWA10" s="34"/>
      <c r="WWB10" s="34"/>
      <c r="WWC10" s="34"/>
      <c r="WWD10" s="34"/>
      <c r="WWE10" s="34"/>
      <c r="WWF10" s="34"/>
      <c r="WWG10" s="34"/>
      <c r="WWH10" s="34"/>
      <c r="WWI10" s="34"/>
      <c r="WWJ10" s="34"/>
      <c r="WWK10" s="34"/>
      <c r="WWL10" s="34"/>
      <c r="WWM10" s="34"/>
      <c r="WWN10" s="34"/>
      <c r="WWO10" s="34"/>
      <c r="WWP10" s="34"/>
      <c r="WWQ10" s="34"/>
      <c r="WWR10" s="34"/>
      <c r="WWS10" s="34"/>
      <c r="WWT10" s="34"/>
      <c r="WWU10" s="34"/>
      <c r="WWV10" s="34"/>
      <c r="WWW10" s="34"/>
      <c r="WWX10" s="34"/>
      <c r="WWY10" s="34"/>
      <c r="WWZ10" s="34"/>
      <c r="WXA10" s="34"/>
      <c r="WXB10" s="34"/>
      <c r="WXC10" s="34"/>
      <c r="WXD10" s="34"/>
      <c r="WXE10" s="34"/>
      <c r="WXF10" s="34"/>
      <c r="WXG10" s="34"/>
      <c r="WXH10" s="34"/>
      <c r="WXI10" s="34"/>
      <c r="WXJ10" s="34"/>
      <c r="WXK10" s="34"/>
      <c r="WXL10" s="34"/>
      <c r="WXM10" s="34"/>
      <c r="WXN10" s="34"/>
      <c r="WXO10" s="34"/>
      <c r="WXP10" s="34"/>
      <c r="WXQ10" s="34"/>
      <c r="WXR10" s="34"/>
      <c r="WXS10" s="34"/>
      <c r="WXT10" s="34"/>
      <c r="WXU10" s="34"/>
      <c r="WXV10" s="34"/>
      <c r="WXW10" s="34"/>
      <c r="WXX10" s="34"/>
      <c r="WXY10" s="34"/>
      <c r="WXZ10" s="34"/>
      <c r="WYA10" s="34"/>
      <c r="WYB10" s="34"/>
      <c r="WYC10" s="34"/>
      <c r="WYD10" s="34"/>
      <c r="WYE10" s="34"/>
      <c r="WYF10" s="34"/>
      <c r="WYG10" s="34"/>
      <c r="WYH10" s="34"/>
      <c r="WYI10" s="34"/>
      <c r="WYJ10" s="34"/>
      <c r="WYK10" s="34"/>
      <c r="WYL10" s="34"/>
      <c r="WYM10" s="34"/>
      <c r="WYN10" s="34"/>
      <c r="WYO10" s="34"/>
      <c r="WYP10" s="34"/>
      <c r="WYQ10" s="34"/>
      <c r="WYR10" s="34"/>
      <c r="WYS10" s="34"/>
      <c r="WYT10" s="34"/>
      <c r="WYU10" s="34"/>
      <c r="WYV10" s="34"/>
      <c r="WYW10" s="34"/>
      <c r="WYX10" s="34"/>
      <c r="WYY10" s="34"/>
      <c r="WYZ10" s="34"/>
      <c r="WZA10" s="34"/>
      <c r="WZB10" s="34"/>
      <c r="WZC10" s="34"/>
      <c r="WZD10" s="34"/>
      <c r="WZE10" s="34"/>
      <c r="WZF10" s="34"/>
      <c r="WZG10" s="34"/>
      <c r="WZH10" s="34"/>
      <c r="WZI10" s="34"/>
      <c r="WZJ10" s="34"/>
      <c r="WZK10" s="34"/>
      <c r="WZL10" s="34"/>
      <c r="WZM10" s="34"/>
      <c r="WZN10" s="34"/>
      <c r="WZO10" s="34"/>
      <c r="WZP10" s="34"/>
      <c r="WZQ10" s="34"/>
      <c r="WZR10" s="34"/>
      <c r="WZS10" s="34"/>
      <c r="WZT10" s="34"/>
      <c r="WZU10" s="34"/>
      <c r="WZV10" s="34"/>
      <c r="WZW10" s="34"/>
      <c r="WZX10" s="34"/>
      <c r="WZY10" s="34"/>
      <c r="WZZ10" s="34"/>
      <c r="XAA10" s="34"/>
      <c r="XAB10" s="34"/>
      <c r="XAC10" s="34"/>
      <c r="XAD10" s="34"/>
      <c r="XAE10" s="34"/>
      <c r="XAF10" s="34"/>
      <c r="XAG10" s="34"/>
      <c r="XAH10" s="34"/>
      <c r="XAI10" s="34"/>
      <c r="XAJ10" s="34"/>
      <c r="XAK10" s="34"/>
      <c r="XAL10" s="34"/>
      <c r="XAM10" s="34"/>
      <c r="XAN10" s="34"/>
      <c r="XAO10" s="34"/>
      <c r="XAP10" s="34"/>
      <c r="XAQ10" s="34"/>
      <c r="XAR10" s="34"/>
      <c r="XAS10" s="34"/>
      <c r="XAT10" s="34"/>
      <c r="XAU10" s="34"/>
      <c r="XAV10" s="34"/>
      <c r="XAW10" s="34"/>
      <c r="XAX10" s="34"/>
      <c r="XAY10" s="34"/>
      <c r="XAZ10" s="34"/>
      <c r="XBA10" s="34"/>
      <c r="XBB10" s="34"/>
      <c r="XBC10" s="34"/>
      <c r="XBD10" s="34"/>
      <c r="XBE10" s="34"/>
      <c r="XBF10" s="34"/>
      <c r="XBG10" s="34"/>
      <c r="XBH10" s="34"/>
      <c r="XBI10" s="34"/>
      <c r="XBJ10" s="34"/>
      <c r="XBK10" s="34"/>
      <c r="XBL10" s="34"/>
      <c r="XBM10" s="34"/>
      <c r="XBN10" s="34"/>
      <c r="XBO10" s="34"/>
      <c r="XBP10" s="34"/>
      <c r="XBQ10" s="34"/>
      <c r="XBR10" s="34"/>
      <c r="XBS10" s="34"/>
      <c r="XBT10" s="34"/>
      <c r="XBU10" s="34"/>
      <c r="XBV10" s="34"/>
      <c r="XBW10" s="34"/>
      <c r="XBX10" s="34"/>
      <c r="XBY10" s="34"/>
      <c r="XBZ10" s="34"/>
      <c r="XCA10" s="34"/>
      <c r="XCB10" s="34"/>
      <c r="XCC10" s="34"/>
      <c r="XCD10" s="34"/>
      <c r="XCE10" s="34"/>
      <c r="XCF10" s="34"/>
      <c r="XCG10" s="34"/>
      <c r="XCH10" s="34"/>
      <c r="XCI10" s="34"/>
      <c r="XCJ10" s="34"/>
      <c r="XCK10" s="34"/>
      <c r="XCL10" s="34"/>
      <c r="XCM10" s="34"/>
      <c r="XCN10" s="34"/>
      <c r="XCO10" s="34"/>
      <c r="XCP10" s="34"/>
      <c r="XCQ10" s="34"/>
      <c r="XCR10" s="34"/>
      <c r="XCS10" s="34"/>
      <c r="XCT10" s="34"/>
      <c r="XCU10" s="34"/>
      <c r="XCV10" s="34"/>
      <c r="XCW10" s="34"/>
      <c r="XCX10" s="34"/>
      <c r="XCY10" s="34"/>
      <c r="XCZ10" s="34"/>
      <c r="XDA10" s="34"/>
      <c r="XDB10" s="34"/>
      <c r="XDC10" s="34"/>
      <c r="XDD10" s="34"/>
      <c r="XDE10" s="34"/>
      <c r="XDF10" s="34"/>
      <c r="XDG10" s="34"/>
      <c r="XDH10" s="34"/>
      <c r="XDI10" s="34"/>
      <c r="XDJ10" s="34"/>
      <c r="XDK10" s="34"/>
      <c r="XDL10" s="34"/>
      <c r="XDM10" s="34"/>
      <c r="XDN10" s="34"/>
      <c r="XDO10" s="34"/>
      <c r="XDP10" s="34"/>
      <c r="XDQ10" s="34"/>
      <c r="XDR10" s="34"/>
      <c r="XDS10" s="34"/>
      <c r="XDT10" s="34"/>
      <c r="XDU10" s="34"/>
      <c r="XDV10" s="34"/>
      <c r="XDW10" s="34"/>
      <c r="XDX10" s="34"/>
      <c r="XDY10" s="34"/>
      <c r="XDZ10" s="34"/>
    </row>
    <row r="11" spans="1:16354" ht="26.25" customHeight="1"/>
    <row r="12" spans="1:16354" ht="13.5" hidden="1" customHeight="1">
      <c r="A12" s="291" t="s">
        <v>123</v>
      </c>
      <c r="B12" s="291"/>
      <c r="C12" s="291"/>
      <c r="D12" s="291"/>
      <c r="E12" s="291"/>
      <c r="F12" s="291"/>
    </row>
  </sheetData>
  <mergeCells count="12">
    <mergeCell ref="A12:F12"/>
    <mergeCell ref="A1:F1"/>
    <mergeCell ref="A2:A3"/>
    <mergeCell ref="B2:B3"/>
    <mergeCell ref="D3:F3"/>
    <mergeCell ref="D5:F5"/>
    <mergeCell ref="C2:F2"/>
    <mergeCell ref="D4:F4"/>
    <mergeCell ref="D6:F6"/>
    <mergeCell ref="D7:F7"/>
    <mergeCell ref="D8:F8"/>
    <mergeCell ref="D9:F9"/>
  </mergeCells>
  <pageMargins left="0.70866141732283472" right="0.70866141732283472" top="0.28999999999999998" bottom="0.24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AW1206"/>
  <sheetViews>
    <sheetView zoomScale="130" zoomScaleNormal="130" workbookViewId="0">
      <pane ySplit="1" topLeftCell="A1093" activePane="bottomLeft" state="frozen"/>
      <selection activeCell="B1" sqref="B1"/>
      <selection pane="bottomLeft" activeCell="D1145" sqref="D1145"/>
    </sheetView>
  </sheetViews>
  <sheetFormatPr defaultColWidth="14.7109375" defaultRowHeight="12.75"/>
  <cols>
    <col min="1" max="1" width="6.28515625" style="45" customWidth="1"/>
    <col min="2" max="2" width="19.42578125" style="45" customWidth="1"/>
    <col min="3" max="3" width="14.7109375" style="133" customWidth="1"/>
    <col min="4" max="4" width="42.140625" style="177" customWidth="1"/>
    <col min="5" max="7" width="14.7109375" style="45" hidden="1" customWidth="1"/>
    <col min="8" max="8" width="21" style="45" hidden="1" customWidth="1"/>
    <col min="9" max="9" width="14.7109375" style="45" hidden="1" customWidth="1"/>
    <col min="10" max="10" width="14.7109375" style="133" hidden="1" customWidth="1"/>
    <col min="11" max="34" width="14.7109375" style="45" hidden="1" customWidth="1"/>
    <col min="35" max="46" width="15.5703125" style="45" hidden="1" customWidth="1"/>
    <col min="47" max="47" width="16.85546875" style="45" hidden="1" customWidth="1"/>
    <col min="48" max="49" width="14.7109375" style="45" hidden="1" customWidth="1"/>
    <col min="50" max="53" width="0" style="45" hidden="1" customWidth="1"/>
    <col min="54" max="16384" width="14.7109375" style="45"/>
  </cols>
  <sheetData>
    <row r="1" spans="1:48" ht="32.25" customHeight="1" thickBot="1">
      <c r="A1" s="309" t="s">
        <v>1</v>
      </c>
      <c r="B1" s="311" t="s">
        <v>14</v>
      </c>
      <c r="C1" s="63" t="s">
        <v>7</v>
      </c>
      <c r="D1" s="63"/>
      <c r="H1" s="131" t="s">
        <v>45</v>
      </c>
      <c r="I1" s="131" t="s">
        <v>42</v>
      </c>
      <c r="J1" s="146" t="s">
        <v>43</v>
      </c>
      <c r="K1" s="131" t="s">
        <v>55</v>
      </c>
      <c r="L1" s="131" t="s">
        <v>59</v>
      </c>
      <c r="M1" s="131" t="s">
        <v>62</v>
      </c>
      <c r="N1" s="131" t="s">
        <v>63</v>
      </c>
      <c r="O1" s="131" t="s">
        <v>64</v>
      </c>
      <c r="P1" s="131" t="s">
        <v>65</v>
      </c>
      <c r="Q1" s="131" t="s">
        <v>66</v>
      </c>
      <c r="R1" s="131" t="s">
        <v>67</v>
      </c>
      <c r="S1" s="131" t="s">
        <v>92</v>
      </c>
      <c r="T1" s="131" t="s">
        <v>93</v>
      </c>
      <c r="U1" s="131" t="s">
        <v>94</v>
      </c>
      <c r="V1" s="131" t="s">
        <v>95</v>
      </c>
      <c r="W1" s="131" t="s">
        <v>97</v>
      </c>
      <c r="X1" s="131" t="s">
        <v>98</v>
      </c>
      <c r="Y1" s="131" t="s">
        <v>99</v>
      </c>
      <c r="Z1" s="131" t="s">
        <v>100</v>
      </c>
      <c r="AA1" s="131" t="s">
        <v>103</v>
      </c>
      <c r="AB1" s="131" t="s">
        <v>104</v>
      </c>
      <c r="AC1" s="131" t="s">
        <v>105</v>
      </c>
      <c r="AD1" s="131" t="s">
        <v>106</v>
      </c>
      <c r="AE1" s="135" t="s">
        <v>118</v>
      </c>
      <c r="AF1" s="135" t="s">
        <v>121</v>
      </c>
      <c r="AG1" s="135" t="s">
        <v>122</v>
      </c>
      <c r="AH1" s="135" t="s">
        <v>125</v>
      </c>
      <c r="AI1" s="135" t="s">
        <v>127</v>
      </c>
      <c r="AJ1" s="135" t="s">
        <v>130</v>
      </c>
      <c r="AK1" s="135" t="s">
        <v>132</v>
      </c>
      <c r="AL1" s="135" t="s">
        <v>134</v>
      </c>
      <c r="AM1" s="135" t="s">
        <v>137</v>
      </c>
      <c r="AN1" s="135" t="s">
        <v>140</v>
      </c>
      <c r="AO1" s="135" t="s">
        <v>141</v>
      </c>
      <c r="AP1" s="135" t="s">
        <v>151</v>
      </c>
      <c r="AQ1" s="135" t="s">
        <v>153</v>
      </c>
      <c r="AR1" s="135" t="s">
        <v>157</v>
      </c>
      <c r="AS1" s="135" t="s">
        <v>159</v>
      </c>
      <c r="AT1" s="135" t="s">
        <v>162</v>
      </c>
      <c r="AU1" s="131" t="s">
        <v>44</v>
      </c>
    </row>
    <row r="2" spans="1:48" ht="62.25" customHeight="1" thickBot="1">
      <c r="A2" s="310"/>
      <c r="B2" s="312"/>
      <c r="C2" s="132" t="s">
        <v>29</v>
      </c>
      <c r="D2" s="132" t="s">
        <v>46</v>
      </c>
      <c r="F2" s="313"/>
      <c r="G2" s="314"/>
      <c r="H2" s="81" t="s">
        <v>24</v>
      </c>
      <c r="I2" s="81" t="s">
        <v>24</v>
      </c>
      <c r="J2" s="147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</row>
    <row r="3" spans="1:48" ht="13.5" customHeight="1">
      <c r="A3" s="82">
        <v>1</v>
      </c>
      <c r="B3" s="83">
        <v>2</v>
      </c>
      <c r="C3" s="83" t="s">
        <v>38</v>
      </c>
      <c r="D3" s="175">
        <v>215.02800000000002</v>
      </c>
      <c r="F3" s="45">
        <v>400</v>
      </c>
      <c r="G3" s="45">
        <v>178.00199999999998</v>
      </c>
      <c r="H3" s="56">
        <v>215.02800000000002</v>
      </c>
      <c r="I3" s="56">
        <v>215.02800000000002</v>
      </c>
      <c r="J3" s="148">
        <v>0</v>
      </c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8">
        <f>I3-J3-K3-L3-M3-N3-O3-P3-Q3-R3-S3-T3-U3-V3-W3-X3-Y3-Z3-AA3-AB3-AC3-AD3-AE3-AF3-AG3-AH3-AI3-AJ3-AK3-AL3-AM3-AN3-AO3-AP3-AQ3-AR3-AS3-AT3</f>
        <v>215.02800000000002</v>
      </c>
      <c r="AV3" s="58"/>
    </row>
    <row r="4" spans="1:48" ht="13.5" customHeight="1">
      <c r="A4" s="84">
        <v>2</v>
      </c>
      <c r="B4" s="85">
        <v>4</v>
      </c>
      <c r="C4" s="85" t="s">
        <v>38</v>
      </c>
      <c r="D4" s="175">
        <v>49.03</v>
      </c>
      <c r="F4" s="45">
        <v>250</v>
      </c>
      <c r="G4" s="45">
        <v>200.97</v>
      </c>
      <c r="H4" s="56">
        <v>49.03</v>
      </c>
      <c r="I4" s="56">
        <v>49.03</v>
      </c>
      <c r="J4" s="148">
        <v>0</v>
      </c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8">
        <f t="shared" ref="AU4:AU67" si="0">I4-J4-K4-L4-M4-N4-O4-P4-Q4-R4-S4-T4-U4-V4-W4-X4-Y4-Z4-AA4-AB4-AC4-AD4-AE4-AF4-AG4-AH4-AI4-AJ4-AK4-AL4-AM4-AN4-AO4-AP4-AQ4-AR4-AS4-AT4</f>
        <v>49.03</v>
      </c>
      <c r="AV4" s="58"/>
    </row>
    <row r="5" spans="1:48" ht="13.5" customHeight="1">
      <c r="A5" s="84">
        <v>3</v>
      </c>
      <c r="B5" s="85">
        <v>5</v>
      </c>
      <c r="C5" s="85" t="s">
        <v>38</v>
      </c>
      <c r="D5" s="175">
        <v>-446.52435880000007</v>
      </c>
      <c r="F5" s="45">
        <v>400</v>
      </c>
      <c r="G5" s="45">
        <v>401.54435880000005</v>
      </c>
      <c r="H5" s="56">
        <v>-1.5443588000000545</v>
      </c>
      <c r="I5" s="56">
        <v>-1.5443588000000545</v>
      </c>
      <c r="J5" s="148">
        <v>0</v>
      </c>
      <c r="K5" s="57">
        <v>192.68</v>
      </c>
      <c r="L5" s="57">
        <v>28</v>
      </c>
      <c r="M5" s="57"/>
      <c r="N5" s="57"/>
      <c r="O5" s="57"/>
      <c r="P5" s="57"/>
      <c r="Q5" s="57"/>
      <c r="R5" s="57"/>
      <c r="S5" s="57"/>
      <c r="T5" s="57"/>
      <c r="U5" s="57">
        <v>194.3</v>
      </c>
      <c r="V5" s="57"/>
      <c r="W5" s="57"/>
      <c r="X5" s="57"/>
      <c r="Y5" s="57"/>
      <c r="Z5" s="57"/>
      <c r="AA5" s="57"/>
      <c r="AB5" s="57"/>
      <c r="AC5" s="57">
        <v>30</v>
      </c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8">
        <f t="shared" si="0"/>
        <v>-446.52435880000007</v>
      </c>
      <c r="AV5" s="58"/>
    </row>
    <row r="6" spans="1:48" ht="13.5" customHeight="1">
      <c r="A6" s="82">
        <v>4</v>
      </c>
      <c r="B6" s="85">
        <v>6</v>
      </c>
      <c r="C6" s="85" t="s">
        <v>38</v>
      </c>
      <c r="D6" s="175">
        <v>-50.153640000000053</v>
      </c>
      <c r="F6" s="45">
        <v>400</v>
      </c>
      <c r="G6" s="45">
        <v>356.15364000000005</v>
      </c>
      <c r="H6" s="56">
        <v>43.846359999999947</v>
      </c>
      <c r="I6" s="56">
        <v>43.846359999999947</v>
      </c>
      <c r="J6" s="148">
        <v>0</v>
      </c>
      <c r="K6" s="57"/>
      <c r="L6" s="57"/>
      <c r="M6" s="57"/>
      <c r="N6" s="57"/>
      <c r="O6" s="57">
        <v>94</v>
      </c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8">
        <f t="shared" si="0"/>
        <v>-50.153640000000053</v>
      </c>
      <c r="AV6" s="58"/>
    </row>
    <row r="7" spans="1:48" ht="13.5" customHeight="1">
      <c r="A7" s="84">
        <v>5</v>
      </c>
      <c r="B7" s="85">
        <v>8</v>
      </c>
      <c r="C7" s="85" t="s">
        <v>38</v>
      </c>
      <c r="D7" s="175">
        <v>-326.92750000000001</v>
      </c>
      <c r="F7" s="45">
        <v>560</v>
      </c>
      <c r="G7" s="45">
        <v>376.92750000000001</v>
      </c>
      <c r="H7" s="56">
        <v>115.07249999999999</v>
      </c>
      <c r="I7" s="56">
        <v>115.07249999999999</v>
      </c>
      <c r="J7" s="148">
        <v>0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>
        <v>50</v>
      </c>
      <c r="W7" s="57">
        <v>48</v>
      </c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>
        <v>150</v>
      </c>
      <c r="AL7" s="57"/>
      <c r="AM7" s="57"/>
      <c r="AN7" s="57"/>
      <c r="AO7" s="57"/>
      <c r="AP7" s="57"/>
      <c r="AQ7" s="57">
        <v>171</v>
      </c>
      <c r="AR7" s="57"/>
      <c r="AS7" s="57">
        <v>23</v>
      </c>
      <c r="AT7" s="57"/>
      <c r="AU7" s="58">
        <f t="shared" si="0"/>
        <v>-326.92750000000001</v>
      </c>
      <c r="AV7" s="58"/>
    </row>
    <row r="8" spans="1:48" ht="13.5" customHeight="1">
      <c r="A8" s="82">
        <v>6</v>
      </c>
      <c r="B8" s="85">
        <v>9</v>
      </c>
      <c r="C8" s="85" t="s">
        <v>38</v>
      </c>
      <c r="D8" s="175">
        <v>-227.70799999999997</v>
      </c>
      <c r="F8" s="45">
        <v>882</v>
      </c>
      <c r="G8" s="45">
        <v>924.70799999999997</v>
      </c>
      <c r="H8" s="56">
        <v>-227.70799999999997</v>
      </c>
      <c r="I8" s="56">
        <v>-42.70799999999997</v>
      </c>
      <c r="J8" s="148">
        <v>185</v>
      </c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8">
        <f t="shared" si="0"/>
        <v>-227.70799999999997</v>
      </c>
      <c r="AV8" s="58"/>
    </row>
    <row r="9" spans="1:48" ht="13.5" customHeight="1">
      <c r="A9" s="84">
        <v>7</v>
      </c>
      <c r="B9" s="85">
        <v>10</v>
      </c>
      <c r="C9" s="85" t="s">
        <v>38</v>
      </c>
      <c r="D9" s="175">
        <v>48.184457500000008</v>
      </c>
      <c r="F9" s="45">
        <v>560</v>
      </c>
      <c r="G9" s="45">
        <v>330.81554249999999</v>
      </c>
      <c r="H9" s="56">
        <v>196.18445750000001</v>
      </c>
      <c r="I9" s="56">
        <v>196.18445750000001</v>
      </c>
      <c r="J9" s="148">
        <v>0</v>
      </c>
      <c r="K9" s="57"/>
      <c r="L9" s="57"/>
      <c r="M9" s="57"/>
      <c r="N9" s="57"/>
      <c r="O9" s="57"/>
      <c r="P9" s="57">
        <v>148</v>
      </c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8">
        <f t="shared" si="0"/>
        <v>48.184457500000008</v>
      </c>
      <c r="AV9" s="58"/>
    </row>
    <row r="10" spans="1:48" ht="13.5" customHeight="1">
      <c r="A10" s="84">
        <v>8</v>
      </c>
      <c r="B10" s="85">
        <v>11</v>
      </c>
      <c r="C10" s="85" t="s">
        <v>38</v>
      </c>
      <c r="D10" s="175">
        <v>-126.47056249999997</v>
      </c>
      <c r="F10" s="45">
        <v>400</v>
      </c>
      <c r="G10" s="45">
        <v>247.77056249999998</v>
      </c>
      <c r="H10" s="56">
        <v>152.22943750000002</v>
      </c>
      <c r="I10" s="56">
        <v>152.22943750000002</v>
      </c>
      <c r="J10" s="148">
        <v>0</v>
      </c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>
        <v>60</v>
      </c>
      <c r="AD10" s="57"/>
      <c r="AE10" s="57"/>
      <c r="AF10" s="57"/>
      <c r="AG10" s="57">
        <v>129.69999999999999</v>
      </c>
      <c r="AH10" s="57"/>
      <c r="AI10" s="57"/>
      <c r="AJ10" s="57"/>
      <c r="AK10" s="57"/>
      <c r="AL10" s="57">
        <v>29</v>
      </c>
      <c r="AM10" s="57"/>
      <c r="AN10" s="57"/>
      <c r="AO10" s="57"/>
      <c r="AP10" s="57"/>
      <c r="AQ10" s="57"/>
      <c r="AR10" s="57"/>
      <c r="AS10" s="57"/>
      <c r="AT10" s="57">
        <v>60</v>
      </c>
      <c r="AU10" s="58">
        <f t="shared" si="0"/>
        <v>-126.47056249999997</v>
      </c>
      <c r="AV10" s="58"/>
    </row>
    <row r="11" spans="1:48" ht="13.5" customHeight="1">
      <c r="A11" s="82">
        <v>9</v>
      </c>
      <c r="B11" s="85">
        <v>13</v>
      </c>
      <c r="C11" s="85" t="s">
        <v>38</v>
      </c>
      <c r="D11" s="175">
        <v>0.11830000000000496</v>
      </c>
      <c r="F11" s="45">
        <v>320</v>
      </c>
      <c r="G11" s="45">
        <v>154.7817</v>
      </c>
      <c r="H11" s="56">
        <v>119.6183</v>
      </c>
      <c r="I11" s="56">
        <v>119.6183</v>
      </c>
      <c r="J11" s="148">
        <v>0</v>
      </c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>
        <v>103.5</v>
      </c>
      <c r="AO11" s="57"/>
      <c r="AP11" s="57">
        <v>16</v>
      </c>
      <c r="AQ11" s="57"/>
      <c r="AR11" s="57"/>
      <c r="AS11" s="57"/>
      <c r="AT11" s="57"/>
      <c r="AU11" s="58">
        <f t="shared" si="0"/>
        <v>0.11830000000000496</v>
      </c>
      <c r="AV11" s="58"/>
    </row>
    <row r="12" spans="1:48" ht="13.5" customHeight="1">
      <c r="A12" s="84">
        <v>10</v>
      </c>
      <c r="B12" s="85">
        <v>14</v>
      </c>
      <c r="C12" s="85" t="s">
        <v>38</v>
      </c>
      <c r="D12" s="175">
        <v>-88.41</v>
      </c>
      <c r="F12" s="45">
        <v>350</v>
      </c>
      <c r="G12" s="45">
        <v>388.88</v>
      </c>
      <c r="H12" s="56">
        <v>-38.879999999999995</v>
      </c>
      <c r="I12" s="56">
        <v>-38.879999999999995</v>
      </c>
      <c r="J12" s="148">
        <v>0</v>
      </c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>
        <v>49.53</v>
      </c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8">
        <f t="shared" si="0"/>
        <v>-88.41</v>
      </c>
      <c r="AV12" s="58"/>
    </row>
    <row r="13" spans="1:48" ht="13.5" customHeight="1">
      <c r="A13" s="82">
        <v>11</v>
      </c>
      <c r="B13" s="85">
        <v>15</v>
      </c>
      <c r="C13" s="85" t="s">
        <v>38</v>
      </c>
      <c r="D13" s="175">
        <v>27.548400000000044</v>
      </c>
      <c r="F13" s="45">
        <v>400</v>
      </c>
      <c r="G13" s="45">
        <v>259.85159999999996</v>
      </c>
      <c r="H13" s="56">
        <v>97.548400000000044</v>
      </c>
      <c r="I13" s="56">
        <v>97.548400000000044</v>
      </c>
      <c r="J13" s="148">
        <v>0</v>
      </c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>
        <v>40</v>
      </c>
      <c r="AP13" s="57"/>
      <c r="AQ13" s="57"/>
      <c r="AR13" s="57"/>
      <c r="AS13" s="57"/>
      <c r="AT13" s="57">
        <v>30</v>
      </c>
      <c r="AU13" s="58">
        <f t="shared" si="0"/>
        <v>27.548400000000044</v>
      </c>
      <c r="AV13" s="58"/>
    </row>
    <row r="14" spans="1:48" ht="13.5" customHeight="1">
      <c r="A14" s="84">
        <v>12</v>
      </c>
      <c r="B14" s="85">
        <v>16</v>
      </c>
      <c r="C14" s="85" t="s">
        <v>38</v>
      </c>
      <c r="D14" s="175">
        <v>-74.300000000000011</v>
      </c>
      <c r="F14" s="45">
        <v>400</v>
      </c>
      <c r="G14" s="45">
        <v>339.3</v>
      </c>
      <c r="H14" s="56">
        <v>60.699999999999989</v>
      </c>
      <c r="I14" s="56">
        <v>60.699999999999989</v>
      </c>
      <c r="J14" s="148">
        <v>0</v>
      </c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>
        <v>65</v>
      </c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>
        <v>70</v>
      </c>
      <c r="AU14" s="58">
        <f t="shared" si="0"/>
        <v>-74.300000000000011</v>
      </c>
      <c r="AV14" s="58"/>
    </row>
    <row r="15" spans="1:48" ht="13.5" customHeight="1">
      <c r="A15" s="84">
        <v>13</v>
      </c>
      <c r="B15" s="85">
        <v>17</v>
      </c>
      <c r="C15" s="85" t="s">
        <v>38</v>
      </c>
      <c r="D15" s="175">
        <v>449.93725000000001</v>
      </c>
      <c r="F15" s="45">
        <v>630</v>
      </c>
      <c r="G15" s="45">
        <v>180.06274999999999</v>
      </c>
      <c r="H15" s="56">
        <v>449.93725000000001</v>
      </c>
      <c r="I15" s="56">
        <v>449.93725000000001</v>
      </c>
      <c r="J15" s="148">
        <v>0</v>
      </c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8">
        <f t="shared" si="0"/>
        <v>449.93725000000001</v>
      </c>
      <c r="AV15" s="58"/>
    </row>
    <row r="16" spans="1:48" ht="13.5" customHeight="1">
      <c r="A16" s="82">
        <v>14</v>
      </c>
      <c r="B16" s="85">
        <v>18</v>
      </c>
      <c r="C16" s="85" t="s">
        <v>38</v>
      </c>
      <c r="D16" s="175">
        <v>-186.22865000000002</v>
      </c>
      <c r="F16" s="45">
        <v>224</v>
      </c>
      <c r="G16" s="45">
        <v>310.22865000000002</v>
      </c>
      <c r="H16" s="56">
        <v>-86.228650000000016</v>
      </c>
      <c r="I16" s="56">
        <v>-86.228650000000016</v>
      </c>
      <c r="J16" s="148">
        <v>0</v>
      </c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>
        <v>100</v>
      </c>
      <c r="AN16" s="57"/>
      <c r="AO16" s="57"/>
      <c r="AP16" s="57"/>
      <c r="AQ16" s="57"/>
      <c r="AR16" s="57"/>
      <c r="AS16" s="57"/>
      <c r="AT16" s="57"/>
      <c r="AU16" s="58">
        <f t="shared" si="0"/>
        <v>-186.22865000000002</v>
      </c>
      <c r="AV16" s="58"/>
    </row>
    <row r="17" spans="1:48" ht="13.5" customHeight="1">
      <c r="A17" s="84">
        <v>15</v>
      </c>
      <c r="B17" s="85">
        <v>19</v>
      </c>
      <c r="C17" s="85" t="s">
        <v>38</v>
      </c>
      <c r="D17" s="175">
        <v>117.34567999999996</v>
      </c>
      <c r="F17" s="45">
        <v>630</v>
      </c>
      <c r="G17" s="45">
        <v>463.65432000000004</v>
      </c>
      <c r="H17" s="56">
        <v>142.34567999999996</v>
      </c>
      <c r="I17" s="56">
        <v>142.34567999999996</v>
      </c>
      <c r="J17" s="148">
        <v>0</v>
      </c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>
        <v>25</v>
      </c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8">
        <f t="shared" si="0"/>
        <v>117.34567999999996</v>
      </c>
      <c r="AV17" s="58"/>
    </row>
    <row r="18" spans="1:48" ht="13.5" customHeight="1">
      <c r="A18" s="82">
        <v>16</v>
      </c>
      <c r="B18" s="85">
        <v>20</v>
      </c>
      <c r="C18" s="85" t="s">
        <v>38</v>
      </c>
      <c r="D18" s="175">
        <v>127.57868000000002</v>
      </c>
      <c r="F18" s="45">
        <v>400</v>
      </c>
      <c r="G18" s="45">
        <v>258.42131999999998</v>
      </c>
      <c r="H18" s="56">
        <v>127.57868000000002</v>
      </c>
      <c r="I18" s="56">
        <v>127.57868000000002</v>
      </c>
      <c r="J18" s="148">
        <v>0</v>
      </c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8">
        <f t="shared" si="0"/>
        <v>127.57868000000002</v>
      </c>
      <c r="AV18" s="58"/>
    </row>
    <row r="19" spans="1:48" ht="13.5" customHeight="1">
      <c r="A19" s="84">
        <v>17</v>
      </c>
      <c r="B19" s="85">
        <v>21</v>
      </c>
      <c r="C19" s="85" t="s">
        <v>38</v>
      </c>
      <c r="D19" s="175">
        <v>52.341100000000012</v>
      </c>
      <c r="F19" s="45">
        <v>250</v>
      </c>
      <c r="G19" s="45">
        <v>197.65889999999999</v>
      </c>
      <c r="H19" s="56">
        <v>52.341100000000012</v>
      </c>
      <c r="I19" s="56">
        <v>52.341100000000012</v>
      </c>
      <c r="J19" s="148">
        <v>0</v>
      </c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8">
        <f t="shared" si="0"/>
        <v>52.341100000000012</v>
      </c>
      <c r="AV19" s="58"/>
    </row>
    <row r="20" spans="1:48" ht="13.5" customHeight="1">
      <c r="A20" s="84">
        <v>18</v>
      </c>
      <c r="B20" s="85">
        <v>22</v>
      </c>
      <c r="C20" s="85" t="s">
        <v>38</v>
      </c>
      <c r="D20" s="175">
        <v>103.75974999999997</v>
      </c>
      <c r="F20" s="45">
        <v>320</v>
      </c>
      <c r="G20" s="45">
        <v>176.24025000000003</v>
      </c>
      <c r="H20" s="56">
        <v>143.75974999999997</v>
      </c>
      <c r="I20" s="56">
        <v>143.75974999999997</v>
      </c>
      <c r="J20" s="148">
        <v>0</v>
      </c>
      <c r="K20" s="57"/>
      <c r="L20" s="57"/>
      <c r="M20" s="57"/>
      <c r="N20" s="57"/>
      <c r="O20" s="57"/>
      <c r="P20" s="57"/>
      <c r="Q20" s="57"/>
      <c r="R20" s="57">
        <v>40</v>
      </c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8">
        <f t="shared" si="0"/>
        <v>103.75974999999997</v>
      </c>
      <c r="AV20" s="58"/>
    </row>
    <row r="21" spans="1:48" ht="13.5" customHeight="1">
      <c r="A21" s="82">
        <v>19</v>
      </c>
      <c r="B21" s="85">
        <v>23</v>
      </c>
      <c r="C21" s="85" t="s">
        <v>38</v>
      </c>
      <c r="D21" s="175">
        <v>-110.08600000000001</v>
      </c>
      <c r="F21" s="45">
        <v>560</v>
      </c>
      <c r="G21" s="45">
        <v>520.08600000000001</v>
      </c>
      <c r="H21" s="56">
        <v>39.913999999999987</v>
      </c>
      <c r="I21" s="56">
        <v>39.913999999999987</v>
      </c>
      <c r="J21" s="148">
        <v>0</v>
      </c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>
        <v>150</v>
      </c>
      <c r="AS21" s="57"/>
      <c r="AT21" s="57"/>
      <c r="AU21" s="58">
        <f t="shared" si="0"/>
        <v>-110.08600000000001</v>
      </c>
      <c r="AV21" s="58"/>
    </row>
    <row r="22" spans="1:48" ht="13.5" customHeight="1">
      <c r="A22" s="84">
        <v>20</v>
      </c>
      <c r="B22" s="85">
        <v>24</v>
      </c>
      <c r="C22" s="85" t="s">
        <v>38</v>
      </c>
      <c r="D22" s="175">
        <v>-175.22209999999993</v>
      </c>
      <c r="F22" s="45">
        <v>630</v>
      </c>
      <c r="G22" s="45">
        <v>566.62209999999993</v>
      </c>
      <c r="H22" s="56">
        <v>48.377900000000068</v>
      </c>
      <c r="I22" s="56">
        <v>48.377900000000068</v>
      </c>
      <c r="J22" s="148">
        <v>0</v>
      </c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>
        <v>73.599999999999994</v>
      </c>
      <c r="AB22" s="57"/>
      <c r="AC22" s="57"/>
      <c r="AD22" s="57"/>
      <c r="AE22" s="57"/>
      <c r="AF22" s="57"/>
      <c r="AG22" s="57"/>
      <c r="AH22" s="57"/>
      <c r="AI22" s="57"/>
      <c r="AJ22" s="57"/>
      <c r="AK22" s="57">
        <v>150</v>
      </c>
      <c r="AL22" s="57"/>
      <c r="AM22" s="57"/>
      <c r="AN22" s="57"/>
      <c r="AO22" s="57"/>
      <c r="AP22" s="57"/>
      <c r="AQ22" s="57"/>
      <c r="AR22" s="57"/>
      <c r="AS22" s="57"/>
      <c r="AT22" s="57"/>
      <c r="AU22" s="58">
        <f t="shared" si="0"/>
        <v>-175.22209999999993</v>
      </c>
      <c r="AV22" s="58"/>
    </row>
    <row r="23" spans="1:48" ht="13.5" customHeight="1">
      <c r="A23" s="82">
        <v>21</v>
      </c>
      <c r="B23" s="85">
        <v>27</v>
      </c>
      <c r="C23" s="85" t="s">
        <v>38</v>
      </c>
      <c r="D23" s="175">
        <v>-83.212999999999965</v>
      </c>
      <c r="F23" s="45">
        <v>560</v>
      </c>
      <c r="G23" s="45">
        <v>513.21299999999997</v>
      </c>
      <c r="H23" s="56">
        <v>46.787000000000035</v>
      </c>
      <c r="I23" s="56">
        <v>46.787000000000035</v>
      </c>
      <c r="J23" s="148">
        <v>0</v>
      </c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>
        <v>60</v>
      </c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>
        <v>70</v>
      </c>
      <c r="AU23" s="58">
        <f t="shared" si="0"/>
        <v>-83.212999999999965</v>
      </c>
      <c r="AV23" s="58"/>
    </row>
    <row r="24" spans="1:48" ht="13.5" customHeight="1">
      <c r="A24" s="84">
        <v>22</v>
      </c>
      <c r="B24" s="85">
        <v>28</v>
      </c>
      <c r="C24" s="85" t="s">
        <v>38</v>
      </c>
      <c r="D24" s="175">
        <v>-124.39999999999998</v>
      </c>
      <c r="F24" s="45">
        <v>560</v>
      </c>
      <c r="G24" s="45">
        <v>584.4</v>
      </c>
      <c r="H24" s="56">
        <v>-24.399999999999977</v>
      </c>
      <c r="I24" s="56">
        <v>-24.399999999999977</v>
      </c>
      <c r="J24" s="148">
        <v>0</v>
      </c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>
        <v>100</v>
      </c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8">
        <f t="shared" si="0"/>
        <v>-124.39999999999998</v>
      </c>
      <c r="AV24" s="58"/>
    </row>
    <row r="25" spans="1:48" ht="13.5" customHeight="1">
      <c r="A25" s="84">
        <v>23</v>
      </c>
      <c r="B25" s="85">
        <v>29</v>
      </c>
      <c r="C25" s="85" t="s">
        <v>38</v>
      </c>
      <c r="D25" s="175">
        <v>-338.02088000000015</v>
      </c>
      <c r="F25" s="45">
        <v>882</v>
      </c>
      <c r="G25" s="45">
        <v>891.02088000000015</v>
      </c>
      <c r="H25" s="56">
        <v>-9.0208800000001474</v>
      </c>
      <c r="I25" s="56">
        <v>-9.0208800000001474</v>
      </c>
      <c r="J25" s="148">
        <v>0</v>
      </c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>
        <v>149</v>
      </c>
      <c r="AK25" s="57">
        <v>180</v>
      </c>
      <c r="AL25" s="57"/>
      <c r="AM25" s="57"/>
      <c r="AN25" s="57"/>
      <c r="AO25" s="57"/>
      <c r="AP25" s="57"/>
      <c r="AQ25" s="57"/>
      <c r="AR25" s="57"/>
      <c r="AS25" s="57"/>
      <c r="AT25" s="57"/>
      <c r="AU25" s="58">
        <f t="shared" si="0"/>
        <v>-338.02088000000015</v>
      </c>
      <c r="AV25" s="58"/>
    </row>
    <row r="26" spans="1:48" ht="13.5" customHeight="1">
      <c r="A26" s="82">
        <v>24</v>
      </c>
      <c r="B26" s="85">
        <v>34</v>
      </c>
      <c r="C26" s="85" t="s">
        <v>38</v>
      </c>
      <c r="D26" s="175">
        <v>201.07136</v>
      </c>
      <c r="F26" s="45">
        <v>400</v>
      </c>
      <c r="G26" s="45">
        <v>258.03308250000003</v>
      </c>
      <c r="H26" s="56">
        <v>217.07136</v>
      </c>
      <c r="I26" s="56">
        <v>217.07136</v>
      </c>
      <c r="J26" s="148">
        <v>0</v>
      </c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>
        <v>16</v>
      </c>
      <c r="AL26" s="57"/>
      <c r="AM26" s="57"/>
      <c r="AN26" s="57"/>
      <c r="AO26" s="57"/>
      <c r="AP26" s="57"/>
      <c r="AQ26" s="57"/>
      <c r="AR26" s="57"/>
      <c r="AS26" s="57"/>
      <c r="AT26" s="57"/>
      <c r="AU26" s="58">
        <f t="shared" si="0"/>
        <v>201.07136</v>
      </c>
      <c r="AV26" s="58"/>
    </row>
    <row r="27" spans="1:48" ht="13.5" customHeight="1">
      <c r="A27" s="84">
        <v>25</v>
      </c>
      <c r="B27" s="85">
        <v>35</v>
      </c>
      <c r="C27" s="85" t="s">
        <v>38</v>
      </c>
      <c r="D27" s="175">
        <v>157.31289999999996</v>
      </c>
      <c r="F27" s="45">
        <v>400</v>
      </c>
      <c r="G27" s="45">
        <v>166.92864</v>
      </c>
      <c r="H27" s="56">
        <v>157.31289999999996</v>
      </c>
      <c r="I27" s="56">
        <v>157.31289999999996</v>
      </c>
      <c r="J27" s="148">
        <v>0</v>
      </c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8">
        <f t="shared" si="0"/>
        <v>157.31289999999996</v>
      </c>
      <c r="AV27" s="58"/>
    </row>
    <row r="28" spans="1:48" ht="13.5" customHeight="1">
      <c r="A28" s="82">
        <v>26</v>
      </c>
      <c r="B28" s="85">
        <v>36</v>
      </c>
      <c r="C28" s="85" t="s">
        <v>38</v>
      </c>
      <c r="D28" s="175">
        <v>-891.86584999999991</v>
      </c>
      <c r="F28" s="45">
        <v>630</v>
      </c>
      <c r="G28" s="45">
        <v>452.68710000000004</v>
      </c>
      <c r="H28" s="56">
        <v>-169.36584999999991</v>
      </c>
      <c r="I28" s="56">
        <v>-94.365849999999909</v>
      </c>
      <c r="J28" s="148">
        <v>75</v>
      </c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>
        <v>152.5</v>
      </c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>
        <v>240</v>
      </c>
      <c r="AH28" s="57"/>
      <c r="AI28" s="57"/>
      <c r="AJ28" s="57"/>
      <c r="AK28" s="57"/>
      <c r="AL28" s="57"/>
      <c r="AM28" s="57"/>
      <c r="AN28" s="57">
        <v>330</v>
      </c>
      <c r="AO28" s="57"/>
      <c r="AP28" s="57"/>
      <c r="AQ28" s="57"/>
      <c r="AR28" s="57"/>
      <c r="AS28" s="57"/>
      <c r="AT28" s="57"/>
      <c r="AU28" s="58">
        <f t="shared" si="0"/>
        <v>-891.86584999999991</v>
      </c>
      <c r="AV28" s="58"/>
    </row>
    <row r="29" spans="1:48" ht="13.5" customHeight="1">
      <c r="A29" s="84">
        <v>27</v>
      </c>
      <c r="B29" s="85">
        <v>37</v>
      </c>
      <c r="C29" s="85" t="s">
        <v>38</v>
      </c>
      <c r="D29" s="175">
        <v>144.95600000000002</v>
      </c>
      <c r="F29" s="45">
        <v>448</v>
      </c>
      <c r="G29" s="45">
        <v>462.36584999999991</v>
      </c>
      <c r="H29" s="56">
        <v>144.95600000000002</v>
      </c>
      <c r="I29" s="56">
        <v>144.95600000000002</v>
      </c>
      <c r="J29" s="148">
        <v>0</v>
      </c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8">
        <f t="shared" si="0"/>
        <v>144.95600000000002</v>
      </c>
      <c r="AV29" s="58"/>
    </row>
    <row r="30" spans="1:48" ht="13.5" customHeight="1">
      <c r="A30" s="84">
        <v>28</v>
      </c>
      <c r="B30" s="85">
        <v>40</v>
      </c>
      <c r="C30" s="85" t="s">
        <v>38</v>
      </c>
      <c r="D30" s="175">
        <v>334.2</v>
      </c>
      <c r="F30" s="45">
        <v>320</v>
      </c>
      <c r="G30" s="45">
        <v>175.04399999999998</v>
      </c>
      <c r="H30" s="56">
        <v>334.2</v>
      </c>
      <c r="I30" s="56">
        <v>334.2</v>
      </c>
      <c r="J30" s="148">
        <v>0</v>
      </c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8">
        <f t="shared" si="0"/>
        <v>334.2</v>
      </c>
      <c r="AV30" s="58"/>
    </row>
    <row r="31" spans="1:48" ht="13.5" customHeight="1">
      <c r="A31" s="82">
        <v>29</v>
      </c>
      <c r="B31" s="85">
        <v>41</v>
      </c>
      <c r="C31" s="85" t="s">
        <v>38</v>
      </c>
      <c r="D31" s="175">
        <v>366.02425200000005</v>
      </c>
      <c r="F31" s="45">
        <v>630</v>
      </c>
      <c r="G31" s="45">
        <v>295.8</v>
      </c>
      <c r="H31" s="56">
        <v>366.02425200000005</v>
      </c>
      <c r="I31" s="56">
        <v>366.02425200000005</v>
      </c>
      <c r="J31" s="148">
        <v>0</v>
      </c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8">
        <f t="shared" si="0"/>
        <v>366.02425200000005</v>
      </c>
      <c r="AV31" s="58"/>
    </row>
    <row r="32" spans="1:48" ht="13.5" customHeight="1">
      <c r="A32" s="84">
        <v>30</v>
      </c>
      <c r="B32" s="85">
        <v>42</v>
      </c>
      <c r="C32" s="85" t="s">
        <v>38</v>
      </c>
      <c r="D32" s="175">
        <v>138.40690499999999</v>
      </c>
      <c r="F32" s="45">
        <v>630</v>
      </c>
      <c r="G32" s="45">
        <v>263.97574799999995</v>
      </c>
      <c r="H32" s="56">
        <v>188.40690499999999</v>
      </c>
      <c r="I32" s="56">
        <v>188.40690499999999</v>
      </c>
      <c r="J32" s="148">
        <v>0</v>
      </c>
      <c r="K32" s="57"/>
      <c r="L32" s="57"/>
      <c r="M32" s="57"/>
      <c r="N32" s="57">
        <v>50</v>
      </c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8">
        <f t="shared" si="0"/>
        <v>138.40690499999999</v>
      </c>
      <c r="AV32" s="58"/>
    </row>
    <row r="33" spans="1:48" ht="13.5" customHeight="1">
      <c r="A33" s="82">
        <v>31</v>
      </c>
      <c r="B33" s="85">
        <v>43</v>
      </c>
      <c r="C33" s="85" t="s">
        <v>38</v>
      </c>
      <c r="D33" s="175">
        <v>151.83803500000002</v>
      </c>
      <c r="F33" s="45">
        <v>560</v>
      </c>
      <c r="G33" s="45">
        <v>371.59309500000001</v>
      </c>
      <c r="H33" s="56">
        <v>151.83803500000002</v>
      </c>
      <c r="I33" s="56">
        <v>151.83803500000002</v>
      </c>
      <c r="J33" s="148">
        <v>0</v>
      </c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8">
        <f t="shared" si="0"/>
        <v>151.83803500000002</v>
      </c>
      <c r="AV33" s="58"/>
    </row>
    <row r="34" spans="1:48" ht="13.5" customHeight="1">
      <c r="A34" s="84">
        <v>32</v>
      </c>
      <c r="B34" s="85">
        <v>45</v>
      </c>
      <c r="C34" s="85" t="s">
        <v>38</v>
      </c>
      <c r="D34" s="175">
        <v>-723.68</v>
      </c>
      <c r="F34" s="45">
        <v>400</v>
      </c>
      <c r="G34" s="45">
        <v>246.66196499999998</v>
      </c>
      <c r="H34" s="56">
        <v>14.420000000000073</v>
      </c>
      <c r="I34" s="56">
        <v>14.420000000000073</v>
      </c>
      <c r="J34" s="148">
        <v>0</v>
      </c>
      <c r="K34" s="57"/>
      <c r="L34" s="57"/>
      <c r="M34" s="57"/>
      <c r="N34" s="57">
        <v>50</v>
      </c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>
        <v>666.1</v>
      </c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>
        <v>22</v>
      </c>
      <c r="AR34" s="57"/>
      <c r="AS34" s="57"/>
      <c r="AT34" s="57"/>
      <c r="AU34" s="58">
        <f t="shared" si="0"/>
        <v>-723.68</v>
      </c>
      <c r="AV34" s="58"/>
    </row>
    <row r="35" spans="1:48" ht="13.5" customHeight="1">
      <c r="A35" s="84">
        <v>33</v>
      </c>
      <c r="B35" s="85">
        <v>48</v>
      </c>
      <c r="C35" s="85" t="s">
        <v>38</v>
      </c>
      <c r="D35" s="175">
        <v>-92.106699999999989</v>
      </c>
      <c r="F35" s="45">
        <v>560</v>
      </c>
      <c r="G35" s="45">
        <v>545.57999999999993</v>
      </c>
      <c r="H35" s="56">
        <v>115.89330000000001</v>
      </c>
      <c r="I35" s="56">
        <v>115.89330000000001</v>
      </c>
      <c r="J35" s="148">
        <v>0</v>
      </c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>
        <v>208</v>
      </c>
      <c r="AT35" s="57"/>
      <c r="AU35" s="58">
        <f t="shared" si="0"/>
        <v>-92.106699999999989</v>
      </c>
      <c r="AV35" s="58"/>
    </row>
    <row r="36" spans="1:48" ht="13.5" customHeight="1">
      <c r="A36" s="82">
        <v>34</v>
      </c>
      <c r="B36" s="85">
        <v>49</v>
      </c>
      <c r="C36" s="85" t="s">
        <v>38</v>
      </c>
      <c r="D36" s="175">
        <v>-63.100000000000023</v>
      </c>
      <c r="F36" s="45">
        <v>320</v>
      </c>
      <c r="G36" s="45">
        <v>196.10669999999999</v>
      </c>
      <c r="H36" s="56">
        <v>11.899999999999977</v>
      </c>
      <c r="I36" s="56">
        <v>11.899999999999977</v>
      </c>
      <c r="J36" s="148">
        <v>0</v>
      </c>
      <c r="K36" s="57"/>
      <c r="L36" s="57">
        <v>75</v>
      </c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8">
        <f t="shared" si="0"/>
        <v>-63.100000000000023</v>
      </c>
      <c r="AV36" s="58"/>
    </row>
    <row r="37" spans="1:48" ht="13.5" customHeight="1">
      <c r="A37" s="84">
        <v>35</v>
      </c>
      <c r="B37" s="85">
        <v>50</v>
      </c>
      <c r="C37" s="85" t="s">
        <v>38</v>
      </c>
      <c r="D37" s="175">
        <v>175.62</v>
      </c>
      <c r="F37" s="45">
        <v>560</v>
      </c>
      <c r="G37" s="45">
        <v>548.1</v>
      </c>
      <c r="H37" s="56">
        <v>201.62</v>
      </c>
      <c r="I37" s="56">
        <v>201.62</v>
      </c>
      <c r="J37" s="148">
        <v>0</v>
      </c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>
        <v>26</v>
      </c>
      <c r="AU37" s="58">
        <f t="shared" si="0"/>
        <v>175.62</v>
      </c>
      <c r="AV37" s="58"/>
    </row>
    <row r="38" spans="1:48" ht="13.5" customHeight="1">
      <c r="A38" s="82">
        <v>36</v>
      </c>
      <c r="B38" s="85">
        <v>51</v>
      </c>
      <c r="C38" s="85" t="s">
        <v>38</v>
      </c>
      <c r="D38" s="175">
        <v>292.303675</v>
      </c>
      <c r="F38" s="45">
        <v>630</v>
      </c>
      <c r="G38" s="45">
        <v>412.38</v>
      </c>
      <c r="H38" s="56">
        <v>292.303675</v>
      </c>
      <c r="I38" s="56">
        <v>292.303675</v>
      </c>
      <c r="J38" s="148">
        <v>0</v>
      </c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8">
        <f t="shared" si="0"/>
        <v>292.303675</v>
      </c>
      <c r="AV38" s="58"/>
    </row>
    <row r="39" spans="1:48" ht="13.5" customHeight="1">
      <c r="A39" s="84">
        <v>37</v>
      </c>
      <c r="B39" s="85">
        <v>53</v>
      </c>
      <c r="C39" s="85" t="s">
        <v>38</v>
      </c>
      <c r="D39" s="175">
        <v>-15.965729999999951</v>
      </c>
      <c r="F39" s="45">
        <v>560</v>
      </c>
      <c r="G39" s="45">
        <v>266.696325</v>
      </c>
      <c r="H39" s="56">
        <v>69.034270000000049</v>
      </c>
      <c r="I39" s="56">
        <v>114.03427000000005</v>
      </c>
      <c r="J39" s="148">
        <v>45</v>
      </c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>
        <v>85</v>
      </c>
      <c r="AP39" s="57"/>
      <c r="AQ39" s="57"/>
      <c r="AR39" s="57"/>
      <c r="AS39" s="57"/>
      <c r="AT39" s="57"/>
      <c r="AU39" s="58">
        <f t="shared" si="0"/>
        <v>-15.965729999999951</v>
      </c>
      <c r="AV39" s="58"/>
    </row>
    <row r="40" spans="1:48" ht="13.5" customHeight="1">
      <c r="A40" s="84">
        <v>38</v>
      </c>
      <c r="B40" s="85">
        <v>56</v>
      </c>
      <c r="C40" s="85" t="s">
        <v>38</v>
      </c>
      <c r="D40" s="175">
        <v>-956.97765000000004</v>
      </c>
      <c r="F40" s="45">
        <v>448</v>
      </c>
      <c r="G40" s="45">
        <v>315.96572999999995</v>
      </c>
      <c r="H40" s="56">
        <v>18.02234999999996</v>
      </c>
      <c r="I40" s="56">
        <v>18.02234999999996</v>
      </c>
      <c r="J40" s="148">
        <v>0</v>
      </c>
      <c r="K40" s="57"/>
      <c r="L40" s="57"/>
      <c r="M40" s="57">
        <v>50</v>
      </c>
      <c r="N40" s="57"/>
      <c r="O40" s="57"/>
      <c r="P40" s="57"/>
      <c r="Q40" s="57"/>
      <c r="R40" s="57">
        <v>50</v>
      </c>
      <c r="S40" s="57"/>
      <c r="T40" s="57">
        <v>25</v>
      </c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>
        <v>68</v>
      </c>
      <c r="AH40" s="57"/>
      <c r="AI40" s="57"/>
      <c r="AJ40" s="57"/>
      <c r="AK40" s="57"/>
      <c r="AL40" s="57"/>
      <c r="AM40" s="57"/>
      <c r="AN40" s="57"/>
      <c r="AO40" s="57"/>
      <c r="AP40" s="57">
        <v>50</v>
      </c>
      <c r="AQ40" s="57"/>
      <c r="AR40" s="57"/>
      <c r="AS40" s="57">
        <v>350</v>
      </c>
      <c r="AT40" s="57">
        <v>382</v>
      </c>
      <c r="AU40" s="58">
        <f t="shared" si="0"/>
        <v>-956.97765000000004</v>
      </c>
      <c r="AV40" s="58"/>
    </row>
    <row r="41" spans="1:48" ht="13.5" customHeight="1">
      <c r="A41" s="82">
        <v>39</v>
      </c>
      <c r="B41" s="85">
        <v>59</v>
      </c>
      <c r="C41" s="85" t="s">
        <v>38</v>
      </c>
      <c r="D41" s="175">
        <v>188.40999999999997</v>
      </c>
      <c r="F41" s="45">
        <v>448</v>
      </c>
      <c r="G41" s="45">
        <v>429.97765000000004</v>
      </c>
      <c r="H41" s="56">
        <v>218.40999999999997</v>
      </c>
      <c r="I41" s="56">
        <v>218.40999999999997</v>
      </c>
      <c r="J41" s="148">
        <v>0</v>
      </c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>
        <v>30</v>
      </c>
      <c r="AR41" s="57"/>
      <c r="AS41" s="57"/>
      <c r="AT41" s="57"/>
      <c r="AU41" s="58">
        <f t="shared" si="0"/>
        <v>188.40999999999997</v>
      </c>
      <c r="AV41" s="58"/>
    </row>
    <row r="42" spans="1:48" ht="13.5" customHeight="1">
      <c r="A42" s="84">
        <v>40</v>
      </c>
      <c r="B42" s="85">
        <v>61</v>
      </c>
      <c r="C42" s="85" t="s">
        <v>38</v>
      </c>
      <c r="D42" s="175">
        <v>14.710000000000008</v>
      </c>
      <c r="F42" s="45">
        <v>882</v>
      </c>
      <c r="G42" s="45">
        <v>660.41351999999995</v>
      </c>
      <c r="H42" s="56">
        <v>14.710000000000008</v>
      </c>
      <c r="I42" s="56">
        <v>14.710000000000008</v>
      </c>
      <c r="J42" s="148">
        <v>0</v>
      </c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8">
        <f t="shared" si="0"/>
        <v>14.710000000000008</v>
      </c>
      <c r="AV42" s="58"/>
    </row>
    <row r="43" spans="1:48" ht="13.5" customHeight="1">
      <c r="A43" s="82">
        <v>41</v>
      </c>
      <c r="B43" s="85">
        <v>62</v>
      </c>
      <c r="C43" s="85" t="s">
        <v>38</v>
      </c>
      <c r="D43" s="175">
        <v>-409.77480000000014</v>
      </c>
      <c r="F43" s="45">
        <v>400</v>
      </c>
      <c r="G43" s="45">
        <v>136.59</v>
      </c>
      <c r="H43" s="56">
        <v>-82.274800000000113</v>
      </c>
      <c r="I43" s="56">
        <v>-82.274800000000113</v>
      </c>
      <c r="J43" s="148">
        <v>0</v>
      </c>
      <c r="K43" s="57"/>
      <c r="L43" s="57"/>
      <c r="M43" s="57"/>
      <c r="N43" s="57"/>
      <c r="O43" s="57"/>
      <c r="P43" s="57">
        <v>97.5</v>
      </c>
      <c r="Q43" s="57"/>
      <c r="R43" s="57">
        <v>140</v>
      </c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>
        <v>90</v>
      </c>
      <c r="AM43" s="57"/>
      <c r="AN43" s="57"/>
      <c r="AO43" s="57"/>
      <c r="AP43" s="57"/>
      <c r="AQ43" s="57"/>
      <c r="AR43" s="57"/>
      <c r="AS43" s="57"/>
      <c r="AT43" s="57"/>
      <c r="AU43" s="58">
        <f t="shared" si="0"/>
        <v>-409.77480000000014</v>
      </c>
      <c r="AV43" s="58"/>
    </row>
    <row r="44" spans="1:48" ht="13.5" customHeight="1">
      <c r="A44" s="84">
        <v>42</v>
      </c>
      <c r="B44" s="85">
        <v>63</v>
      </c>
      <c r="C44" s="85" t="s">
        <v>38</v>
      </c>
      <c r="D44" s="175">
        <v>-270.20499999999998</v>
      </c>
      <c r="F44" s="45">
        <v>160</v>
      </c>
      <c r="G44" s="45">
        <v>145.29</v>
      </c>
      <c r="H44" s="56">
        <v>-10.204999999999984</v>
      </c>
      <c r="I44" s="56">
        <v>-10.204999999999984</v>
      </c>
      <c r="J44" s="148">
        <v>0</v>
      </c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>
        <v>260</v>
      </c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8">
        <f t="shared" si="0"/>
        <v>-270.20499999999998</v>
      </c>
      <c r="AV44" s="58"/>
    </row>
    <row r="45" spans="1:48" ht="13.5" customHeight="1">
      <c r="A45" s="84">
        <v>43</v>
      </c>
      <c r="B45" s="85">
        <v>64</v>
      </c>
      <c r="C45" s="85" t="s">
        <v>38</v>
      </c>
      <c r="D45" s="175">
        <v>-45.737485000000028</v>
      </c>
      <c r="F45" s="45">
        <v>400</v>
      </c>
      <c r="G45" s="45">
        <v>475.30480000000011</v>
      </c>
      <c r="H45" s="56">
        <v>21.362514999999973</v>
      </c>
      <c r="I45" s="56">
        <v>21.362514999999973</v>
      </c>
      <c r="J45" s="148">
        <v>0</v>
      </c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>
        <v>42.1</v>
      </c>
      <c r="AA45" s="57"/>
      <c r="AB45" s="57"/>
      <c r="AC45" s="57"/>
      <c r="AD45" s="57">
        <v>25</v>
      </c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8">
        <f t="shared" si="0"/>
        <v>-45.737485000000028</v>
      </c>
      <c r="AV45" s="58"/>
    </row>
    <row r="46" spans="1:48" ht="13.5" customHeight="1">
      <c r="A46" s="82">
        <v>44</v>
      </c>
      <c r="B46" s="85">
        <v>65</v>
      </c>
      <c r="C46" s="85" t="s">
        <v>38</v>
      </c>
      <c r="D46" s="175">
        <v>40.763715000000019</v>
      </c>
      <c r="F46" s="45">
        <v>400</v>
      </c>
      <c r="G46" s="45">
        <v>410.20499999999998</v>
      </c>
      <c r="H46" s="56">
        <v>60.763715000000019</v>
      </c>
      <c r="I46" s="56">
        <v>60.763715000000019</v>
      </c>
      <c r="J46" s="148">
        <v>0</v>
      </c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>
        <v>20</v>
      </c>
      <c r="AM46" s="57"/>
      <c r="AN46" s="57"/>
      <c r="AO46" s="57"/>
      <c r="AP46" s="57"/>
      <c r="AQ46" s="57"/>
      <c r="AR46" s="57"/>
      <c r="AS46" s="57"/>
      <c r="AT46" s="57"/>
      <c r="AU46" s="58">
        <f t="shared" si="0"/>
        <v>40.763715000000019</v>
      </c>
      <c r="AV46" s="58"/>
    </row>
    <row r="47" spans="1:48" ht="13.5" customHeight="1">
      <c r="A47" s="84">
        <v>45</v>
      </c>
      <c r="B47" s="85">
        <v>66</v>
      </c>
      <c r="C47" s="85" t="s">
        <v>38</v>
      </c>
      <c r="D47" s="175">
        <v>307.90440000000001</v>
      </c>
      <c r="F47" s="45">
        <v>400</v>
      </c>
      <c r="G47" s="45">
        <v>378.63748500000003</v>
      </c>
      <c r="H47" s="56">
        <v>307.90440000000001</v>
      </c>
      <c r="I47" s="56">
        <v>307.90440000000001</v>
      </c>
      <c r="J47" s="148">
        <v>0</v>
      </c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8">
        <f t="shared" si="0"/>
        <v>307.90440000000001</v>
      </c>
      <c r="AV47" s="58"/>
    </row>
    <row r="48" spans="1:48" ht="13.5" customHeight="1">
      <c r="A48" s="82">
        <v>46</v>
      </c>
      <c r="B48" s="85">
        <v>67</v>
      </c>
      <c r="C48" s="85" t="s">
        <v>38</v>
      </c>
      <c r="D48" s="175">
        <v>190.18221750000004</v>
      </c>
      <c r="F48" s="45">
        <v>250</v>
      </c>
      <c r="G48" s="45">
        <v>158.73628499999998</v>
      </c>
      <c r="H48" s="56">
        <v>246.18221750000004</v>
      </c>
      <c r="I48" s="56">
        <v>246.18221750000004</v>
      </c>
      <c r="J48" s="148">
        <v>0</v>
      </c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>
        <v>56</v>
      </c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8">
        <f t="shared" si="0"/>
        <v>190.18221750000004</v>
      </c>
      <c r="AV48" s="58"/>
    </row>
    <row r="49" spans="1:48" ht="13.5" customHeight="1">
      <c r="A49" s="84">
        <v>47</v>
      </c>
      <c r="B49" s="85">
        <v>72</v>
      </c>
      <c r="C49" s="85" t="s">
        <v>38</v>
      </c>
      <c r="D49" s="175">
        <v>-596.15504375</v>
      </c>
      <c r="F49" s="45">
        <v>882</v>
      </c>
      <c r="G49" s="45">
        <v>574.09559999999999</v>
      </c>
      <c r="H49" s="56">
        <v>41.144956250000064</v>
      </c>
      <c r="I49" s="56">
        <v>41.144956250000064</v>
      </c>
      <c r="J49" s="148">
        <v>0</v>
      </c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>
        <v>150</v>
      </c>
      <c r="AS49" s="57">
        <v>487.3</v>
      </c>
      <c r="AT49" s="57"/>
      <c r="AU49" s="58">
        <f t="shared" si="0"/>
        <v>-596.15504375</v>
      </c>
      <c r="AV49" s="58"/>
    </row>
    <row r="50" spans="1:48" ht="13.5" customHeight="1">
      <c r="A50" s="84">
        <v>48</v>
      </c>
      <c r="B50" s="85">
        <v>73</v>
      </c>
      <c r="C50" s="85" t="s">
        <v>38</v>
      </c>
      <c r="D50" s="175">
        <v>-205.57706249999995</v>
      </c>
      <c r="F50" s="45">
        <v>630</v>
      </c>
      <c r="G50" s="45">
        <v>331.81778249999996</v>
      </c>
      <c r="H50" s="56">
        <v>244.42293750000005</v>
      </c>
      <c r="I50" s="56">
        <v>279.42293750000005</v>
      </c>
      <c r="J50" s="148">
        <v>35</v>
      </c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>
        <v>400</v>
      </c>
      <c r="AE50" s="57"/>
      <c r="AF50" s="57"/>
      <c r="AG50" s="57"/>
      <c r="AH50" s="57"/>
      <c r="AI50" s="57"/>
      <c r="AJ50" s="57"/>
      <c r="AK50" s="57"/>
      <c r="AL50" s="57"/>
      <c r="AM50" s="57"/>
      <c r="AN50" s="57">
        <v>50</v>
      </c>
      <c r="AO50" s="57"/>
      <c r="AP50" s="57"/>
      <c r="AQ50" s="57"/>
      <c r="AR50" s="57"/>
      <c r="AS50" s="57"/>
      <c r="AT50" s="57"/>
      <c r="AU50" s="58">
        <f t="shared" si="0"/>
        <v>-205.57706249999995</v>
      </c>
      <c r="AV50" s="58"/>
    </row>
    <row r="51" spans="1:48" ht="13.5" customHeight="1">
      <c r="A51" s="82">
        <v>49</v>
      </c>
      <c r="B51" s="85">
        <v>74</v>
      </c>
      <c r="C51" s="85" t="s">
        <v>38</v>
      </c>
      <c r="D51" s="175">
        <v>24.060200000000037</v>
      </c>
      <c r="F51" s="45">
        <v>250</v>
      </c>
      <c r="G51" s="45">
        <v>192.321765</v>
      </c>
      <c r="H51" s="56">
        <v>84.060200000000037</v>
      </c>
      <c r="I51" s="56">
        <v>84.060200000000037</v>
      </c>
      <c r="J51" s="148">
        <v>0</v>
      </c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>
        <v>60</v>
      </c>
      <c r="AS51" s="57"/>
      <c r="AT51" s="57"/>
      <c r="AU51" s="58">
        <f t="shared" si="0"/>
        <v>24.060200000000037</v>
      </c>
      <c r="AV51" s="58"/>
    </row>
    <row r="52" spans="1:48" ht="13.5" customHeight="1">
      <c r="A52" s="84">
        <v>50</v>
      </c>
      <c r="B52" s="85">
        <v>75</v>
      </c>
      <c r="C52" s="85" t="s">
        <v>38</v>
      </c>
      <c r="D52" s="175">
        <v>-20.149748500000044</v>
      </c>
      <c r="F52" s="45">
        <v>560</v>
      </c>
      <c r="G52" s="45">
        <v>491.85504374999994</v>
      </c>
      <c r="H52" s="56">
        <v>29.850251499999956</v>
      </c>
      <c r="I52" s="56">
        <v>29.850251499999956</v>
      </c>
      <c r="J52" s="148">
        <v>0</v>
      </c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>
        <v>50</v>
      </c>
      <c r="AO52" s="57"/>
      <c r="AP52" s="57"/>
      <c r="AQ52" s="57"/>
      <c r="AR52" s="57"/>
      <c r="AS52" s="57"/>
      <c r="AT52" s="57"/>
      <c r="AU52" s="58">
        <f t="shared" si="0"/>
        <v>-20.149748500000044</v>
      </c>
      <c r="AV52" s="58"/>
    </row>
    <row r="53" spans="1:48" ht="13.5" customHeight="1">
      <c r="A53" s="82">
        <v>51</v>
      </c>
      <c r="B53" s="85">
        <v>78</v>
      </c>
      <c r="C53" s="85" t="s">
        <v>38</v>
      </c>
      <c r="D53" s="175">
        <v>-20.618899999999996</v>
      </c>
      <c r="F53" s="45">
        <v>630</v>
      </c>
      <c r="G53" s="45">
        <v>339.07706249999995</v>
      </c>
      <c r="H53" s="56">
        <v>-20.618899999999996</v>
      </c>
      <c r="I53" s="56">
        <v>-20.618899999999996</v>
      </c>
      <c r="J53" s="148">
        <v>0</v>
      </c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8">
        <f t="shared" si="0"/>
        <v>-20.618899999999996</v>
      </c>
      <c r="AV53" s="58"/>
    </row>
    <row r="54" spans="1:48" ht="13.5" customHeight="1">
      <c r="A54" s="84">
        <v>52</v>
      </c>
      <c r="B54" s="85">
        <v>80</v>
      </c>
      <c r="C54" s="85" t="s">
        <v>38</v>
      </c>
      <c r="D54" s="175">
        <v>201.49175199999999</v>
      </c>
      <c r="F54" s="45">
        <v>400</v>
      </c>
      <c r="G54" s="45">
        <v>244.93979999999996</v>
      </c>
      <c r="H54" s="56">
        <v>201.49175199999999</v>
      </c>
      <c r="I54" s="56">
        <v>201.49175199999999</v>
      </c>
      <c r="J54" s="148">
        <v>0</v>
      </c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8">
        <f t="shared" si="0"/>
        <v>201.49175199999999</v>
      </c>
      <c r="AV54" s="58"/>
    </row>
    <row r="55" spans="1:48" ht="13.5" customHeight="1">
      <c r="A55" s="84">
        <v>53</v>
      </c>
      <c r="B55" s="85">
        <v>81</v>
      </c>
      <c r="C55" s="85" t="s">
        <v>38</v>
      </c>
      <c r="D55" s="175">
        <v>241.47900000000001</v>
      </c>
      <c r="F55" s="45">
        <v>400</v>
      </c>
      <c r="G55" s="45">
        <v>349.14974850000004</v>
      </c>
      <c r="H55" s="56">
        <v>291.00900000000001</v>
      </c>
      <c r="I55" s="56">
        <v>291.00900000000001</v>
      </c>
      <c r="J55" s="148">
        <v>0</v>
      </c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>
        <v>49.53</v>
      </c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8">
        <f t="shared" si="0"/>
        <v>241.47900000000001</v>
      </c>
      <c r="AV55" s="58"/>
    </row>
    <row r="56" spans="1:48" ht="13.5" customHeight="1">
      <c r="A56" s="82">
        <v>54</v>
      </c>
      <c r="B56" s="85">
        <v>82</v>
      </c>
      <c r="C56" s="85" t="s">
        <v>38</v>
      </c>
      <c r="D56" s="175">
        <v>126.32999999999998</v>
      </c>
      <c r="F56" s="45">
        <v>400</v>
      </c>
      <c r="G56" s="45">
        <v>420.6189</v>
      </c>
      <c r="H56" s="56">
        <v>126.32999999999998</v>
      </c>
      <c r="I56" s="56">
        <v>126.32999999999998</v>
      </c>
      <c r="J56" s="148">
        <v>0</v>
      </c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8">
        <f t="shared" si="0"/>
        <v>126.32999999999998</v>
      </c>
      <c r="AV56" s="58"/>
    </row>
    <row r="57" spans="1:48" ht="13.5" customHeight="1">
      <c r="A57" s="84">
        <v>55</v>
      </c>
      <c r="B57" s="85">
        <v>83</v>
      </c>
      <c r="C57" s="85" t="s">
        <v>38</v>
      </c>
      <c r="D57" s="175">
        <v>-90.083242499999869</v>
      </c>
      <c r="F57" s="45">
        <v>400</v>
      </c>
      <c r="G57" s="45">
        <v>198.50824800000001</v>
      </c>
      <c r="H57" s="56">
        <v>-90.083242499999869</v>
      </c>
      <c r="I57" s="56">
        <v>-90.083242499999869</v>
      </c>
      <c r="J57" s="148">
        <v>0</v>
      </c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8">
        <f t="shared" si="0"/>
        <v>-90.083242499999869</v>
      </c>
      <c r="AV57" s="58"/>
    </row>
    <row r="58" spans="1:48" ht="13.5" customHeight="1">
      <c r="A58" s="82">
        <v>56</v>
      </c>
      <c r="B58" s="85">
        <v>84</v>
      </c>
      <c r="C58" s="85" t="s">
        <v>38</v>
      </c>
      <c r="D58" s="175">
        <v>-40.173093750000042</v>
      </c>
      <c r="F58" s="45">
        <v>882</v>
      </c>
      <c r="G58" s="45">
        <v>590.99099999999999</v>
      </c>
      <c r="H58" s="56">
        <v>61.726906249999956</v>
      </c>
      <c r="I58" s="56">
        <v>61.726906249999956</v>
      </c>
      <c r="J58" s="148">
        <v>0</v>
      </c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>
        <v>51.9</v>
      </c>
      <c r="AL58" s="57"/>
      <c r="AM58" s="57"/>
      <c r="AN58" s="57">
        <v>50</v>
      </c>
      <c r="AO58" s="57"/>
      <c r="AP58" s="57"/>
      <c r="AQ58" s="57"/>
      <c r="AR58" s="57"/>
      <c r="AS58" s="57"/>
      <c r="AT58" s="57"/>
      <c r="AU58" s="58">
        <f t="shared" si="0"/>
        <v>-40.173093750000042</v>
      </c>
      <c r="AV58" s="58"/>
    </row>
    <row r="59" spans="1:48" ht="13.5" customHeight="1">
      <c r="A59" s="84">
        <v>57</v>
      </c>
      <c r="B59" s="85">
        <v>92</v>
      </c>
      <c r="C59" s="85" t="s">
        <v>38</v>
      </c>
      <c r="D59" s="175">
        <v>-76.291129999999981</v>
      </c>
      <c r="F59" s="45">
        <v>630</v>
      </c>
      <c r="G59" s="45">
        <v>383.67</v>
      </c>
      <c r="H59" s="56">
        <v>113.70887000000002</v>
      </c>
      <c r="I59" s="56">
        <v>113.70887000000002</v>
      </c>
      <c r="J59" s="148">
        <v>0</v>
      </c>
      <c r="K59" s="57">
        <v>100</v>
      </c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>
        <v>90</v>
      </c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8">
        <f t="shared" si="0"/>
        <v>-76.291129999999981</v>
      </c>
      <c r="AV59" s="58"/>
    </row>
    <row r="60" spans="1:48" ht="13.5" customHeight="1">
      <c r="A60" s="84">
        <v>58</v>
      </c>
      <c r="B60" s="85">
        <v>94</v>
      </c>
      <c r="C60" s="85" t="s">
        <v>38</v>
      </c>
      <c r="D60" s="175">
        <v>-382.90112600000009</v>
      </c>
      <c r="F60" s="45">
        <v>630</v>
      </c>
      <c r="G60" s="45">
        <v>675.08324249999987</v>
      </c>
      <c r="H60" s="56">
        <v>-12.901126000000062</v>
      </c>
      <c r="I60" s="56">
        <v>-12.901126000000062</v>
      </c>
      <c r="J60" s="148">
        <v>0</v>
      </c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>
        <v>50</v>
      </c>
      <c r="AH60" s="57"/>
      <c r="AI60" s="57">
        <v>150</v>
      </c>
      <c r="AJ60" s="57">
        <v>150</v>
      </c>
      <c r="AK60" s="57"/>
      <c r="AL60" s="57"/>
      <c r="AM60" s="57"/>
      <c r="AN60" s="57"/>
      <c r="AO60" s="57"/>
      <c r="AP60" s="57"/>
      <c r="AQ60" s="57"/>
      <c r="AR60" s="57"/>
      <c r="AS60" s="57"/>
      <c r="AT60" s="57">
        <v>20</v>
      </c>
      <c r="AU60" s="58">
        <f t="shared" si="0"/>
        <v>-382.90112600000009</v>
      </c>
      <c r="AV60" s="58"/>
    </row>
    <row r="61" spans="1:48" ht="13.5" customHeight="1">
      <c r="A61" s="82">
        <v>59</v>
      </c>
      <c r="B61" s="85">
        <v>95</v>
      </c>
      <c r="C61" s="85" t="s">
        <v>38</v>
      </c>
      <c r="D61" s="175">
        <v>-69.32316000000003</v>
      </c>
      <c r="F61" s="45">
        <v>320</v>
      </c>
      <c r="G61" s="45">
        <v>258.27309375000004</v>
      </c>
      <c r="H61" s="56">
        <v>30.67683999999997</v>
      </c>
      <c r="I61" s="56">
        <v>30.67683999999997</v>
      </c>
      <c r="J61" s="148">
        <v>0</v>
      </c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>
        <v>50</v>
      </c>
      <c r="AS61" s="57"/>
      <c r="AT61" s="57">
        <v>50</v>
      </c>
      <c r="AU61" s="58">
        <f t="shared" si="0"/>
        <v>-69.32316000000003</v>
      </c>
      <c r="AV61" s="58"/>
    </row>
    <row r="62" spans="1:48" ht="13.5" customHeight="1">
      <c r="A62" s="84">
        <v>60</v>
      </c>
      <c r="B62" s="85">
        <v>96</v>
      </c>
      <c r="C62" s="85" t="s">
        <v>38</v>
      </c>
      <c r="D62" s="175">
        <v>357.32983999999999</v>
      </c>
      <c r="F62" s="45">
        <v>882</v>
      </c>
      <c r="G62" s="45">
        <v>665.55</v>
      </c>
      <c r="H62" s="56">
        <v>379.32983999999999</v>
      </c>
      <c r="I62" s="56">
        <v>379.32983999999999</v>
      </c>
      <c r="J62" s="148">
        <v>0</v>
      </c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>
        <v>22</v>
      </c>
      <c r="AO62" s="57"/>
      <c r="AP62" s="57"/>
      <c r="AQ62" s="57"/>
      <c r="AR62" s="57"/>
      <c r="AS62" s="57"/>
      <c r="AT62" s="57"/>
      <c r="AU62" s="58">
        <f t="shared" si="0"/>
        <v>357.32983999999999</v>
      </c>
      <c r="AV62" s="58"/>
    </row>
    <row r="63" spans="1:48" ht="13.5" customHeight="1">
      <c r="A63" s="82">
        <v>61</v>
      </c>
      <c r="B63" s="85">
        <v>97</v>
      </c>
      <c r="C63" s="85" t="s">
        <v>38</v>
      </c>
      <c r="D63" s="175">
        <v>46.627999999999986</v>
      </c>
      <c r="F63" s="45">
        <v>400</v>
      </c>
      <c r="G63" s="45">
        <v>106.11216</v>
      </c>
      <c r="H63" s="56">
        <v>162.62799999999999</v>
      </c>
      <c r="I63" s="56">
        <v>162.62799999999999</v>
      </c>
      <c r="J63" s="148">
        <v>0</v>
      </c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>
        <v>16</v>
      </c>
      <c r="AD63" s="57"/>
      <c r="AE63" s="57"/>
      <c r="AF63" s="57"/>
      <c r="AG63" s="57"/>
      <c r="AH63" s="57"/>
      <c r="AI63" s="57"/>
      <c r="AJ63" s="57"/>
      <c r="AK63" s="57"/>
      <c r="AL63" s="57"/>
      <c r="AM63" s="57">
        <v>100</v>
      </c>
      <c r="AN63" s="57"/>
      <c r="AO63" s="57"/>
      <c r="AP63" s="57"/>
      <c r="AQ63" s="57"/>
      <c r="AR63" s="57"/>
      <c r="AS63" s="57"/>
      <c r="AT63" s="57"/>
      <c r="AU63" s="58">
        <f t="shared" si="0"/>
        <v>46.627999999999986</v>
      </c>
      <c r="AV63" s="58"/>
    </row>
    <row r="64" spans="1:48" ht="13.5" customHeight="1">
      <c r="A64" s="84">
        <v>62</v>
      </c>
      <c r="B64" s="85">
        <v>98</v>
      </c>
      <c r="C64" s="85" t="s">
        <v>38</v>
      </c>
      <c r="D64" s="175">
        <v>456.36748999999998</v>
      </c>
      <c r="F64" s="45">
        <v>350</v>
      </c>
      <c r="G64" s="45">
        <v>236.29112999999998</v>
      </c>
      <c r="H64" s="56">
        <v>472.36748999999998</v>
      </c>
      <c r="I64" s="56">
        <v>472.36748999999998</v>
      </c>
      <c r="J64" s="148">
        <v>0</v>
      </c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>
        <v>16</v>
      </c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8">
        <f t="shared" si="0"/>
        <v>456.36748999999998</v>
      </c>
      <c r="AV64" s="58"/>
    </row>
    <row r="65" spans="1:48" ht="13.5" customHeight="1">
      <c r="A65" s="84">
        <v>63</v>
      </c>
      <c r="B65" s="85">
        <v>102</v>
      </c>
      <c r="C65" s="85" t="s">
        <v>38</v>
      </c>
      <c r="D65" s="175">
        <v>249.16674</v>
      </c>
      <c r="F65" s="45">
        <v>400</v>
      </c>
      <c r="G65" s="45">
        <v>248.31159374999999</v>
      </c>
      <c r="H65" s="56">
        <v>249.16674</v>
      </c>
      <c r="I65" s="56">
        <v>249.16674</v>
      </c>
      <c r="J65" s="148">
        <v>0</v>
      </c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8">
        <f t="shared" si="0"/>
        <v>249.16674</v>
      </c>
      <c r="AV65" s="58"/>
    </row>
    <row r="66" spans="1:48" ht="13.5" customHeight="1">
      <c r="A66" s="82">
        <v>64</v>
      </c>
      <c r="B66" s="85">
        <v>104</v>
      </c>
      <c r="C66" s="85" t="s">
        <v>38</v>
      </c>
      <c r="D66" s="175">
        <v>-223.39999999999992</v>
      </c>
      <c r="F66" s="45">
        <v>400</v>
      </c>
      <c r="G66" s="45">
        <v>254.90112600000006</v>
      </c>
      <c r="H66" s="56">
        <v>-48.149999999999977</v>
      </c>
      <c r="I66" s="56">
        <v>-48.149999999999977</v>
      </c>
      <c r="J66" s="148">
        <v>0</v>
      </c>
      <c r="K66" s="57"/>
      <c r="L66" s="57"/>
      <c r="M66" s="57">
        <v>50</v>
      </c>
      <c r="N66" s="57"/>
      <c r="O66" s="57"/>
      <c r="P66" s="57"/>
      <c r="Q66" s="57"/>
      <c r="R66" s="57"/>
      <c r="S66" s="57"/>
      <c r="T66" s="57"/>
      <c r="U66" s="57"/>
      <c r="V66" s="57">
        <v>394.7</v>
      </c>
      <c r="W66" s="57"/>
      <c r="X66" s="57">
        <v>40</v>
      </c>
      <c r="Y66" s="57"/>
      <c r="Z66" s="57">
        <v>50</v>
      </c>
      <c r="AA66" s="57"/>
      <c r="AB66" s="57">
        <v>-394.7</v>
      </c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>
        <v>35.25</v>
      </c>
      <c r="AN66" s="57"/>
      <c r="AO66" s="57"/>
      <c r="AP66" s="57"/>
      <c r="AQ66" s="57"/>
      <c r="AR66" s="57"/>
      <c r="AS66" s="57"/>
      <c r="AT66" s="57"/>
      <c r="AU66" s="58">
        <f t="shared" si="0"/>
        <v>-223.39999999999992</v>
      </c>
      <c r="AV66" s="58"/>
    </row>
    <row r="67" spans="1:48" ht="13.5" customHeight="1">
      <c r="A67" s="84">
        <v>65</v>
      </c>
      <c r="B67" s="85">
        <v>105</v>
      </c>
      <c r="C67" s="85" t="s">
        <v>38</v>
      </c>
      <c r="D67" s="175">
        <v>88.684600000000017</v>
      </c>
      <c r="F67" s="45">
        <v>400</v>
      </c>
      <c r="G67" s="45">
        <v>354.32316000000003</v>
      </c>
      <c r="H67" s="56">
        <v>88.684600000000017</v>
      </c>
      <c r="I67" s="56">
        <v>88.684600000000017</v>
      </c>
      <c r="J67" s="148">
        <v>0</v>
      </c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8">
        <f t="shared" si="0"/>
        <v>88.684600000000017</v>
      </c>
      <c r="AV67" s="58"/>
    </row>
    <row r="68" spans="1:48" ht="13.5" customHeight="1">
      <c r="A68" s="82">
        <v>66</v>
      </c>
      <c r="B68" s="85">
        <v>106</v>
      </c>
      <c r="C68" s="85" t="s">
        <v>38</v>
      </c>
      <c r="D68" s="176">
        <v>69.319999999999993</v>
      </c>
      <c r="E68" s="117"/>
      <c r="F68" s="117">
        <v>630</v>
      </c>
      <c r="G68" s="117">
        <v>246.67015999999998</v>
      </c>
      <c r="H68" s="116">
        <v>69.319999999999993</v>
      </c>
      <c r="I68" s="116">
        <v>69.319999999999993</v>
      </c>
      <c r="J68" s="149">
        <v>0</v>
      </c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8">
        <f t="shared" ref="AU68:AU131" si="1">I68-J68-K68-L68-M68-N68-O68-P68-Q68-R68-S68-T68-U68-V68-W68-X68-Y68-Z68-AA68-AB68-AC68-AD68-AE68-AF68-AG68-AH68-AI68-AJ68-AK68-AL68-AM68-AN68-AO68-AP68-AQ68-AR68-AS68-AT68</f>
        <v>69.319999999999993</v>
      </c>
      <c r="AV68" s="58"/>
    </row>
    <row r="69" spans="1:48" ht="13.5" customHeight="1">
      <c r="A69" s="84">
        <v>67</v>
      </c>
      <c r="B69" s="85">
        <v>107</v>
      </c>
      <c r="C69" s="85" t="s">
        <v>38</v>
      </c>
      <c r="D69" s="175">
        <v>7.4766500000000065</v>
      </c>
      <c r="F69" s="45">
        <v>400</v>
      </c>
      <c r="G69" s="45">
        <v>222.37200000000001</v>
      </c>
      <c r="H69" s="56">
        <v>7.4766500000000065</v>
      </c>
      <c r="I69" s="56">
        <v>7.4766500000000065</v>
      </c>
      <c r="J69" s="148">
        <v>0</v>
      </c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8">
        <f t="shared" si="1"/>
        <v>7.4766500000000065</v>
      </c>
      <c r="AV69" s="58"/>
    </row>
    <row r="70" spans="1:48" ht="13.5" customHeight="1">
      <c r="A70" s="84">
        <v>68</v>
      </c>
      <c r="B70" s="85">
        <v>108</v>
      </c>
      <c r="C70" s="85" t="s">
        <v>38</v>
      </c>
      <c r="D70" s="175">
        <v>-94.366184999999973</v>
      </c>
      <c r="F70" s="45">
        <v>630</v>
      </c>
      <c r="G70" s="45">
        <v>157.63251</v>
      </c>
      <c r="H70" s="56">
        <v>50.573815000000025</v>
      </c>
      <c r="I70" s="56">
        <v>50.573815000000025</v>
      </c>
      <c r="J70" s="148">
        <v>0</v>
      </c>
      <c r="K70" s="57"/>
      <c r="L70" s="57"/>
      <c r="M70" s="57">
        <v>63.1</v>
      </c>
      <c r="N70" s="57"/>
      <c r="O70" s="57">
        <v>65.84</v>
      </c>
      <c r="P70" s="57"/>
      <c r="Q70" s="57"/>
      <c r="R70" s="57">
        <v>16</v>
      </c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8">
        <f t="shared" si="1"/>
        <v>-94.366184999999973</v>
      </c>
      <c r="AV70" s="58"/>
    </row>
    <row r="71" spans="1:48" ht="13.5" customHeight="1">
      <c r="A71" s="82">
        <v>69</v>
      </c>
      <c r="B71" s="85">
        <v>110</v>
      </c>
      <c r="C71" s="85" t="s">
        <v>38</v>
      </c>
      <c r="D71" s="175">
        <v>5.9399999999999977</v>
      </c>
      <c r="F71" s="45">
        <v>400</v>
      </c>
      <c r="G71" s="45">
        <v>104.83326000000001</v>
      </c>
      <c r="H71" s="56">
        <v>5.9399999999999977</v>
      </c>
      <c r="I71" s="56">
        <v>5.9399999999999977</v>
      </c>
      <c r="J71" s="148">
        <v>0</v>
      </c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8">
        <f t="shared" si="1"/>
        <v>5.9399999999999977</v>
      </c>
      <c r="AV71" s="58"/>
    </row>
    <row r="72" spans="1:48" ht="13.5" customHeight="1">
      <c r="A72" s="84">
        <v>70</v>
      </c>
      <c r="B72" s="85">
        <v>111</v>
      </c>
      <c r="C72" s="85" t="s">
        <v>38</v>
      </c>
      <c r="D72" s="175">
        <v>86.657800000000009</v>
      </c>
      <c r="F72" s="45">
        <v>630</v>
      </c>
      <c r="G72" s="45">
        <v>648.15</v>
      </c>
      <c r="H72" s="56">
        <v>104.65780000000001</v>
      </c>
      <c r="I72" s="56">
        <v>104.65780000000001</v>
      </c>
      <c r="J72" s="148">
        <v>0</v>
      </c>
      <c r="K72" s="57"/>
      <c r="L72" s="57"/>
      <c r="M72" s="57"/>
      <c r="N72" s="57"/>
      <c r="O72" s="57"/>
      <c r="P72" s="57"/>
      <c r="Q72" s="57">
        <v>18</v>
      </c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8">
        <f t="shared" si="1"/>
        <v>86.657800000000009</v>
      </c>
      <c r="AV72" s="58"/>
    </row>
    <row r="73" spans="1:48" ht="13.5" customHeight="1">
      <c r="A73" s="82">
        <v>71</v>
      </c>
      <c r="B73" s="85">
        <v>112</v>
      </c>
      <c r="C73" s="85" t="s">
        <v>38</v>
      </c>
      <c r="D73" s="175">
        <v>54.5548</v>
      </c>
      <c r="F73" s="45">
        <v>250</v>
      </c>
      <c r="G73" s="45">
        <v>161.31539999999998</v>
      </c>
      <c r="H73" s="56">
        <v>54.5548</v>
      </c>
      <c r="I73" s="56">
        <v>54.5548</v>
      </c>
      <c r="J73" s="148">
        <v>0</v>
      </c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8">
        <f t="shared" si="1"/>
        <v>54.5548</v>
      </c>
      <c r="AV73" s="58"/>
    </row>
    <row r="74" spans="1:48" ht="13.5" customHeight="1">
      <c r="A74" s="84">
        <v>72</v>
      </c>
      <c r="B74" s="85">
        <v>113</v>
      </c>
      <c r="C74" s="85" t="s">
        <v>38</v>
      </c>
      <c r="D74" s="175">
        <v>57.117799999999988</v>
      </c>
      <c r="F74" s="45">
        <v>560</v>
      </c>
      <c r="G74" s="45">
        <v>490.68</v>
      </c>
      <c r="H74" s="56">
        <v>87.617799999999988</v>
      </c>
      <c r="I74" s="56">
        <v>87.617799999999988</v>
      </c>
      <c r="J74" s="148">
        <v>0</v>
      </c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>
        <v>30.5</v>
      </c>
      <c r="AR74" s="57"/>
      <c r="AS74" s="57"/>
      <c r="AT74" s="57"/>
      <c r="AU74" s="58">
        <f t="shared" si="1"/>
        <v>57.117799999999988</v>
      </c>
      <c r="AV74" s="58"/>
    </row>
    <row r="75" spans="1:48" ht="13.5" customHeight="1">
      <c r="A75" s="84">
        <v>73</v>
      </c>
      <c r="B75" s="85">
        <v>118</v>
      </c>
      <c r="C75" s="85" t="s">
        <v>38</v>
      </c>
      <c r="D75" s="175">
        <v>57.280900000000031</v>
      </c>
      <c r="F75" s="45">
        <v>350</v>
      </c>
      <c r="G75" s="45">
        <v>342.52334999999999</v>
      </c>
      <c r="H75" s="56">
        <v>57.280900000000031</v>
      </c>
      <c r="I75" s="56">
        <v>57.280900000000031</v>
      </c>
      <c r="J75" s="148">
        <v>0</v>
      </c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8">
        <f t="shared" si="1"/>
        <v>57.280900000000031</v>
      </c>
      <c r="AV75" s="58"/>
    </row>
    <row r="76" spans="1:48" ht="13.5" customHeight="1">
      <c r="A76" s="82">
        <v>74</v>
      </c>
      <c r="B76" s="85">
        <v>119</v>
      </c>
      <c r="C76" s="85" t="s">
        <v>38</v>
      </c>
      <c r="D76" s="175">
        <v>-68.3</v>
      </c>
      <c r="F76" s="45">
        <v>400</v>
      </c>
      <c r="G76" s="45">
        <v>329.92618499999998</v>
      </c>
      <c r="H76" s="56">
        <v>-37</v>
      </c>
      <c r="I76" s="56">
        <v>-37</v>
      </c>
      <c r="J76" s="148">
        <v>0</v>
      </c>
      <c r="K76" s="57"/>
      <c r="L76" s="57"/>
      <c r="M76" s="57">
        <v>31.3</v>
      </c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8">
        <f t="shared" si="1"/>
        <v>-68.3</v>
      </c>
      <c r="AV76" s="58"/>
    </row>
    <row r="77" spans="1:48" ht="13.5" customHeight="1">
      <c r="A77" s="84">
        <v>75</v>
      </c>
      <c r="B77" s="85">
        <v>120</v>
      </c>
      <c r="C77" s="85" t="s">
        <v>38</v>
      </c>
      <c r="D77" s="175">
        <v>102.14350000000002</v>
      </c>
      <c r="F77" s="45">
        <v>630</v>
      </c>
      <c r="G77" s="45">
        <v>504.6</v>
      </c>
      <c r="H77" s="56">
        <v>102.14350000000002</v>
      </c>
      <c r="I77" s="56">
        <v>102.14350000000002</v>
      </c>
      <c r="J77" s="148">
        <v>0</v>
      </c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8">
        <f t="shared" si="1"/>
        <v>102.14350000000002</v>
      </c>
      <c r="AV77" s="58"/>
    </row>
    <row r="78" spans="1:48" ht="13.5" customHeight="1">
      <c r="A78" s="82">
        <v>76</v>
      </c>
      <c r="B78" s="85">
        <v>121</v>
      </c>
      <c r="C78" s="85" t="s">
        <v>38</v>
      </c>
      <c r="D78" s="175">
        <v>28.363299999999924</v>
      </c>
      <c r="F78" s="45">
        <v>400</v>
      </c>
      <c r="G78" s="45">
        <v>294.06</v>
      </c>
      <c r="H78" s="56">
        <v>64.363299999999924</v>
      </c>
      <c r="I78" s="56">
        <v>64.363299999999924</v>
      </c>
      <c r="J78" s="148">
        <v>0</v>
      </c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>
        <v>36</v>
      </c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8">
        <f t="shared" si="1"/>
        <v>28.363299999999924</v>
      </c>
      <c r="AV78" s="58"/>
    </row>
    <row r="79" spans="1:48" ht="13.5" customHeight="1">
      <c r="A79" s="84">
        <v>77</v>
      </c>
      <c r="B79" s="85">
        <v>123</v>
      </c>
      <c r="C79" s="85" t="s">
        <v>38</v>
      </c>
      <c r="D79" s="175">
        <v>1.5945250000000328</v>
      </c>
      <c r="F79" s="45">
        <v>250</v>
      </c>
      <c r="G79" s="45">
        <v>145.34219999999999</v>
      </c>
      <c r="H79" s="56">
        <v>31.594525000000033</v>
      </c>
      <c r="I79" s="56">
        <v>31.594525000000033</v>
      </c>
      <c r="J79" s="148">
        <v>0</v>
      </c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>
        <v>30</v>
      </c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8">
        <f t="shared" si="1"/>
        <v>1.5945250000000328</v>
      </c>
      <c r="AV79" s="58"/>
    </row>
    <row r="80" spans="1:48" ht="13.5" customHeight="1">
      <c r="A80" s="84">
        <v>78</v>
      </c>
      <c r="B80" s="85">
        <v>124</v>
      </c>
      <c r="C80" s="85" t="s">
        <v>38</v>
      </c>
      <c r="D80" s="175">
        <v>85.513529999999946</v>
      </c>
      <c r="F80" s="45">
        <v>250</v>
      </c>
      <c r="G80" s="45">
        <v>177.4452</v>
      </c>
      <c r="H80" s="56">
        <v>145.51352999999995</v>
      </c>
      <c r="I80" s="56">
        <v>145.51352999999995</v>
      </c>
      <c r="J80" s="148">
        <v>0</v>
      </c>
      <c r="K80" s="57"/>
      <c r="L80" s="57"/>
      <c r="M80" s="57"/>
      <c r="N80" s="57"/>
      <c r="O80" s="57">
        <v>60</v>
      </c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8">
        <f t="shared" si="1"/>
        <v>85.513529999999946</v>
      </c>
      <c r="AV80" s="58"/>
    </row>
    <row r="81" spans="1:48" ht="13.5" customHeight="1">
      <c r="A81" s="82">
        <v>79</v>
      </c>
      <c r="B81" s="85">
        <v>125</v>
      </c>
      <c r="C81" s="85" t="s">
        <v>38</v>
      </c>
      <c r="D81" s="175">
        <v>-62</v>
      </c>
      <c r="F81" s="45">
        <v>400</v>
      </c>
      <c r="G81" s="45">
        <v>312.38220000000001</v>
      </c>
      <c r="H81" s="56">
        <v>-62</v>
      </c>
      <c r="I81" s="56">
        <v>-62</v>
      </c>
      <c r="J81" s="148">
        <v>0</v>
      </c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8">
        <f t="shared" si="1"/>
        <v>-62</v>
      </c>
      <c r="AV81" s="58"/>
    </row>
    <row r="82" spans="1:48" ht="13.5" customHeight="1">
      <c r="A82" s="84">
        <v>80</v>
      </c>
      <c r="B82" s="85">
        <v>126</v>
      </c>
      <c r="C82" s="85" t="s">
        <v>38</v>
      </c>
      <c r="D82" s="175">
        <v>192.01734999999999</v>
      </c>
      <c r="F82" s="45">
        <v>400</v>
      </c>
      <c r="G82" s="45">
        <v>342.71909999999997</v>
      </c>
      <c r="H82" s="56">
        <v>242.01734999999999</v>
      </c>
      <c r="I82" s="56">
        <v>242.01734999999999</v>
      </c>
      <c r="J82" s="148">
        <v>0</v>
      </c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>
        <v>50</v>
      </c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8">
        <f t="shared" si="1"/>
        <v>192.01734999999999</v>
      </c>
      <c r="AV82" s="58"/>
    </row>
    <row r="83" spans="1:48" ht="13.5" customHeight="1">
      <c r="A83" s="82">
        <v>81</v>
      </c>
      <c r="B83" s="85">
        <v>127</v>
      </c>
      <c r="C83" s="85" t="s">
        <v>38</v>
      </c>
      <c r="D83" s="175">
        <v>457</v>
      </c>
      <c r="H83" s="56"/>
      <c r="I83" s="56">
        <v>882</v>
      </c>
      <c r="J83" s="148"/>
      <c r="K83" s="57"/>
      <c r="L83" s="57"/>
      <c r="M83" s="57"/>
      <c r="N83" s="57"/>
      <c r="O83" s="57">
        <v>25</v>
      </c>
      <c r="P83" s="57"/>
      <c r="Q83" s="57"/>
      <c r="R83" s="57"/>
      <c r="S83" s="57"/>
      <c r="T83" s="57">
        <v>150</v>
      </c>
      <c r="U83" s="57"/>
      <c r="V83" s="57"/>
      <c r="W83" s="57"/>
      <c r="X83" s="57"/>
      <c r="Y83" s="57"/>
      <c r="Z83" s="57"/>
      <c r="AA83" s="57"/>
      <c r="AB83" s="57"/>
      <c r="AC83" s="57">
        <v>65</v>
      </c>
      <c r="AD83" s="57"/>
      <c r="AE83" s="57"/>
      <c r="AF83" s="57"/>
      <c r="AG83" s="57"/>
      <c r="AH83" s="57"/>
      <c r="AI83" s="57"/>
      <c r="AJ83" s="57"/>
      <c r="AK83" s="57"/>
      <c r="AL83" s="57"/>
      <c r="AM83" s="57">
        <v>155</v>
      </c>
      <c r="AN83" s="57"/>
      <c r="AO83" s="57"/>
      <c r="AP83" s="57"/>
      <c r="AQ83" s="57"/>
      <c r="AR83" s="57">
        <v>30</v>
      </c>
      <c r="AS83" s="57"/>
      <c r="AT83" s="57"/>
      <c r="AU83" s="58">
        <f t="shared" si="1"/>
        <v>457</v>
      </c>
      <c r="AV83" s="58"/>
    </row>
    <row r="84" spans="1:48" ht="13.5" customHeight="1">
      <c r="A84" s="84">
        <v>82</v>
      </c>
      <c r="B84" s="85">
        <v>129</v>
      </c>
      <c r="C84" s="85" t="s">
        <v>38</v>
      </c>
      <c r="D84" s="175">
        <v>-510.22412500000007</v>
      </c>
      <c r="F84" s="45">
        <v>400</v>
      </c>
      <c r="G84" s="45">
        <v>437</v>
      </c>
      <c r="H84" s="56">
        <v>-105.22412500000007</v>
      </c>
      <c r="I84" s="56">
        <v>-105.22412500000007</v>
      </c>
      <c r="J84" s="148">
        <v>0</v>
      </c>
      <c r="K84" s="57"/>
      <c r="L84" s="57"/>
      <c r="M84" s="57">
        <v>150</v>
      </c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>
        <v>185</v>
      </c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>
        <v>30</v>
      </c>
      <c r="AL84" s="57"/>
      <c r="AM84" s="57"/>
      <c r="AN84" s="57"/>
      <c r="AO84" s="57"/>
      <c r="AP84" s="57"/>
      <c r="AQ84" s="57"/>
      <c r="AR84" s="57">
        <v>20</v>
      </c>
      <c r="AS84" s="57"/>
      <c r="AT84" s="57">
        <v>20</v>
      </c>
      <c r="AU84" s="58">
        <f t="shared" si="1"/>
        <v>-510.22412500000007</v>
      </c>
      <c r="AV84" s="58"/>
    </row>
    <row r="85" spans="1:48" ht="13.5" customHeight="1">
      <c r="A85" s="84">
        <v>83</v>
      </c>
      <c r="B85" s="85">
        <v>132</v>
      </c>
      <c r="C85" s="85" t="s">
        <v>38</v>
      </c>
      <c r="D85" s="175">
        <v>-554.78904</v>
      </c>
      <c r="F85" s="45">
        <v>250</v>
      </c>
      <c r="G85" s="45">
        <v>147.85649999999998</v>
      </c>
      <c r="H85" s="56">
        <v>-93.78904</v>
      </c>
      <c r="I85" s="56">
        <v>-93.78904</v>
      </c>
      <c r="J85" s="148">
        <v>0</v>
      </c>
      <c r="K85" s="57"/>
      <c r="L85" s="57"/>
      <c r="M85" s="57"/>
      <c r="N85" s="57"/>
      <c r="O85" s="57"/>
      <c r="P85" s="57"/>
      <c r="Q85" s="57">
        <v>400</v>
      </c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>
        <v>61</v>
      </c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8">
        <f t="shared" si="1"/>
        <v>-554.78904</v>
      </c>
      <c r="AV85" s="58"/>
    </row>
    <row r="86" spans="1:48" ht="13.5" customHeight="1">
      <c r="A86" s="82">
        <v>84</v>
      </c>
      <c r="B86" s="85">
        <v>134</v>
      </c>
      <c r="C86" s="85" t="s">
        <v>38</v>
      </c>
      <c r="D86" s="175">
        <v>124.6</v>
      </c>
      <c r="H86" s="56"/>
      <c r="I86" s="56">
        <v>252</v>
      </c>
      <c r="J86" s="148">
        <v>106.4</v>
      </c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>
        <v>5</v>
      </c>
      <c r="AL86" s="57"/>
      <c r="AM86" s="57">
        <v>16</v>
      </c>
      <c r="AN86" s="57"/>
      <c r="AO86" s="57"/>
      <c r="AP86" s="57"/>
      <c r="AQ86" s="57"/>
      <c r="AR86" s="57"/>
      <c r="AS86" s="57"/>
      <c r="AT86" s="57"/>
      <c r="AU86" s="58">
        <f t="shared" si="1"/>
        <v>124.6</v>
      </c>
      <c r="AV86" s="58"/>
    </row>
    <row r="87" spans="1:48" ht="13.5" customHeight="1">
      <c r="A87" s="84">
        <v>85</v>
      </c>
      <c r="B87" s="85">
        <v>138</v>
      </c>
      <c r="C87" s="85" t="s">
        <v>38</v>
      </c>
      <c r="D87" s="175">
        <v>240</v>
      </c>
      <c r="H87" s="56"/>
      <c r="I87" s="56">
        <v>320</v>
      </c>
      <c r="J87" s="148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>
        <v>80</v>
      </c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8">
        <f t="shared" si="1"/>
        <v>240</v>
      </c>
      <c r="AV87" s="58"/>
    </row>
    <row r="88" spans="1:48" ht="13.5" customHeight="1">
      <c r="A88" s="82">
        <v>86</v>
      </c>
      <c r="B88" s="85">
        <v>139</v>
      </c>
      <c r="C88" s="85" t="s">
        <v>38</v>
      </c>
      <c r="D88" s="175">
        <v>17.5</v>
      </c>
      <c r="H88" s="56"/>
      <c r="I88" s="56">
        <v>200</v>
      </c>
      <c r="J88" s="148">
        <v>161.5</v>
      </c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>
        <v>21</v>
      </c>
      <c r="AP88" s="57"/>
      <c r="AQ88" s="57"/>
      <c r="AR88" s="57"/>
      <c r="AS88" s="57"/>
      <c r="AT88" s="57"/>
      <c r="AU88" s="58">
        <f t="shared" si="1"/>
        <v>17.5</v>
      </c>
      <c r="AV88" s="58"/>
    </row>
    <row r="89" spans="1:48" ht="13.5" customHeight="1">
      <c r="A89" s="84">
        <v>87</v>
      </c>
      <c r="B89" s="85">
        <v>140</v>
      </c>
      <c r="C89" s="85" t="s">
        <v>38</v>
      </c>
      <c r="D89" s="175">
        <v>-449.46000000000004</v>
      </c>
      <c r="H89" s="56"/>
      <c r="I89" s="56">
        <v>213.4</v>
      </c>
      <c r="J89" s="148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>
        <v>371.86</v>
      </c>
      <c r="AA89" s="57">
        <v>220</v>
      </c>
      <c r="AB89" s="57"/>
      <c r="AC89" s="57"/>
      <c r="AD89" s="57"/>
      <c r="AE89" s="57">
        <v>21</v>
      </c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>
        <v>50</v>
      </c>
      <c r="AT89" s="57"/>
      <c r="AU89" s="58">
        <f t="shared" si="1"/>
        <v>-449.46000000000004</v>
      </c>
      <c r="AV89" s="58"/>
    </row>
    <row r="90" spans="1:48" ht="13.5" customHeight="1">
      <c r="A90" s="84">
        <v>88</v>
      </c>
      <c r="B90" s="85">
        <v>141</v>
      </c>
      <c r="C90" s="85" t="s">
        <v>38</v>
      </c>
      <c r="D90" s="175">
        <v>233.43228750000003</v>
      </c>
      <c r="F90" s="45">
        <v>560</v>
      </c>
      <c r="G90" s="45">
        <v>473.63670000000008</v>
      </c>
      <c r="H90" s="56">
        <v>233.43228750000003</v>
      </c>
      <c r="I90" s="56">
        <v>233.43228750000003</v>
      </c>
      <c r="J90" s="148">
        <v>0</v>
      </c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8">
        <f t="shared" si="1"/>
        <v>233.43228750000003</v>
      </c>
      <c r="AV90" s="58"/>
    </row>
    <row r="91" spans="1:48" ht="13.5" customHeight="1">
      <c r="A91" s="82">
        <v>89</v>
      </c>
      <c r="B91" s="85">
        <v>144</v>
      </c>
      <c r="C91" s="85" t="s">
        <v>38</v>
      </c>
      <c r="D91" s="175">
        <v>270</v>
      </c>
      <c r="H91" s="56"/>
      <c r="I91" s="56">
        <v>320</v>
      </c>
      <c r="J91" s="148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>
        <v>50</v>
      </c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8">
        <f t="shared" si="1"/>
        <v>270</v>
      </c>
      <c r="AV91" s="58"/>
    </row>
    <row r="92" spans="1:48" ht="13.5" customHeight="1">
      <c r="A92" s="84">
        <v>90</v>
      </c>
      <c r="B92" s="85">
        <v>145</v>
      </c>
      <c r="C92" s="85" t="s">
        <v>38</v>
      </c>
      <c r="D92" s="175">
        <v>-63.39</v>
      </c>
      <c r="H92" s="56"/>
      <c r="I92" s="56">
        <v>-33.39</v>
      </c>
      <c r="J92" s="148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>
        <v>30</v>
      </c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8">
        <f t="shared" si="1"/>
        <v>-63.39</v>
      </c>
      <c r="AV92" s="58"/>
    </row>
    <row r="93" spans="1:48" ht="14.25" customHeight="1">
      <c r="A93" s="82">
        <v>91</v>
      </c>
      <c r="B93" s="85">
        <v>149</v>
      </c>
      <c r="C93" s="85" t="s">
        <v>38</v>
      </c>
      <c r="D93" s="175">
        <v>-57.686200000000014</v>
      </c>
      <c r="F93" s="45">
        <v>160</v>
      </c>
      <c r="G93" s="45">
        <v>128.40547499999997</v>
      </c>
      <c r="H93" s="56">
        <v>42.313799999999986</v>
      </c>
      <c r="I93" s="56">
        <v>42.313799999999986</v>
      </c>
      <c r="J93" s="148">
        <v>0</v>
      </c>
      <c r="K93" s="57">
        <v>50</v>
      </c>
      <c r="L93" s="57">
        <v>50</v>
      </c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8">
        <f t="shared" si="1"/>
        <v>-57.686200000000014</v>
      </c>
      <c r="AV93" s="58"/>
    </row>
    <row r="94" spans="1:48" ht="13.5" customHeight="1">
      <c r="A94" s="84">
        <v>92</v>
      </c>
      <c r="B94" s="85">
        <v>150</v>
      </c>
      <c r="C94" s="85" t="s">
        <v>38</v>
      </c>
      <c r="D94" s="175">
        <v>244</v>
      </c>
      <c r="H94" s="56"/>
      <c r="I94" s="56">
        <v>504</v>
      </c>
      <c r="J94" s="148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>
        <v>60</v>
      </c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>
        <v>50</v>
      </c>
      <c r="AL94" s="57"/>
      <c r="AM94" s="57"/>
      <c r="AN94" s="57">
        <v>150</v>
      </c>
      <c r="AO94" s="57"/>
      <c r="AP94" s="57"/>
      <c r="AQ94" s="57"/>
      <c r="AR94" s="57"/>
      <c r="AS94" s="57"/>
      <c r="AT94" s="57"/>
      <c r="AU94" s="58">
        <f t="shared" si="1"/>
        <v>244</v>
      </c>
      <c r="AV94" s="58"/>
    </row>
    <row r="95" spans="1:48" ht="13.5" customHeight="1">
      <c r="A95" s="84">
        <v>93</v>
      </c>
      <c r="B95" s="85">
        <v>151</v>
      </c>
      <c r="C95" s="85" t="s">
        <v>38</v>
      </c>
      <c r="D95" s="175">
        <v>-25.791000000000025</v>
      </c>
      <c r="F95" s="45">
        <v>630</v>
      </c>
      <c r="G95" s="45">
        <v>484.48647000000005</v>
      </c>
      <c r="H95" s="56">
        <v>-25.791000000000025</v>
      </c>
      <c r="I95" s="56">
        <v>-25.791000000000025</v>
      </c>
      <c r="J95" s="148">
        <v>0</v>
      </c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8">
        <f t="shared" si="1"/>
        <v>-25.791000000000025</v>
      </c>
      <c r="AV95" s="58"/>
    </row>
    <row r="96" spans="1:48" ht="13.5" customHeight="1">
      <c r="A96" s="82">
        <v>94</v>
      </c>
      <c r="B96" s="85">
        <v>153</v>
      </c>
      <c r="C96" s="85" t="s">
        <v>38</v>
      </c>
      <c r="D96" s="175">
        <v>-491.90809999999999</v>
      </c>
      <c r="F96" s="45">
        <v>560</v>
      </c>
      <c r="G96" s="45">
        <v>610</v>
      </c>
      <c r="H96" s="56">
        <v>43.09190000000001</v>
      </c>
      <c r="I96" s="56">
        <v>43.09190000000001</v>
      </c>
      <c r="J96" s="148">
        <v>0</v>
      </c>
      <c r="K96" s="57"/>
      <c r="L96" s="57"/>
      <c r="M96" s="57"/>
      <c r="N96" s="57">
        <v>70</v>
      </c>
      <c r="O96" s="57"/>
      <c r="P96" s="57"/>
      <c r="Q96" s="57"/>
      <c r="R96" s="57"/>
      <c r="S96" s="57"/>
      <c r="T96" s="57"/>
      <c r="U96" s="57">
        <v>250</v>
      </c>
      <c r="V96" s="57"/>
      <c r="W96" s="57"/>
      <c r="X96" s="57"/>
      <c r="Y96" s="57">
        <v>145</v>
      </c>
      <c r="Z96" s="57"/>
      <c r="AA96" s="57"/>
      <c r="AB96" s="57"/>
      <c r="AC96" s="57"/>
      <c r="AD96" s="57"/>
      <c r="AE96" s="57"/>
      <c r="AF96" s="57"/>
      <c r="AG96" s="57">
        <v>70</v>
      </c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8">
        <f t="shared" si="1"/>
        <v>-491.90809999999999</v>
      </c>
      <c r="AV96" s="58"/>
    </row>
    <row r="97" spans="1:48" ht="13.5" customHeight="1">
      <c r="A97" s="84">
        <v>95</v>
      </c>
      <c r="B97" s="85">
        <v>154</v>
      </c>
      <c r="C97" s="85" t="s">
        <v>38</v>
      </c>
      <c r="D97" s="175">
        <v>174.710915</v>
      </c>
      <c r="F97" s="45">
        <v>400</v>
      </c>
      <c r="G97" s="45">
        <v>147.98265000000001</v>
      </c>
      <c r="H97" s="56">
        <v>234.710915</v>
      </c>
      <c r="I97" s="56">
        <v>234.710915</v>
      </c>
      <c r="J97" s="148">
        <v>0</v>
      </c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>
        <v>60</v>
      </c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8">
        <f t="shared" si="1"/>
        <v>174.710915</v>
      </c>
      <c r="AV97" s="58"/>
    </row>
    <row r="98" spans="1:48" ht="13.5" customHeight="1">
      <c r="A98" s="82">
        <v>96</v>
      </c>
      <c r="B98" s="85">
        <v>155</v>
      </c>
      <c r="C98" s="85" t="s">
        <v>38</v>
      </c>
      <c r="D98" s="175">
        <v>-644.65400000000022</v>
      </c>
      <c r="F98" s="45">
        <v>560</v>
      </c>
      <c r="G98" s="45">
        <v>632.22412500000007</v>
      </c>
      <c r="H98" s="56">
        <v>-644.65400000000022</v>
      </c>
      <c r="I98" s="56">
        <v>-644.65400000000022</v>
      </c>
      <c r="J98" s="148">
        <v>0</v>
      </c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8">
        <f t="shared" si="1"/>
        <v>-644.65400000000022</v>
      </c>
      <c r="AV98" s="58"/>
    </row>
    <row r="99" spans="1:48" ht="13.5" customHeight="1">
      <c r="A99" s="84">
        <v>97</v>
      </c>
      <c r="B99" s="85">
        <v>157</v>
      </c>
      <c r="C99" s="85" t="s">
        <v>38</v>
      </c>
      <c r="D99" s="175">
        <v>-70.677999999999997</v>
      </c>
      <c r="F99" s="45">
        <v>448</v>
      </c>
      <c r="G99" s="45">
        <v>461.78904</v>
      </c>
      <c r="H99" s="56">
        <v>39.322000000000003</v>
      </c>
      <c r="I99" s="56">
        <v>39.322000000000003</v>
      </c>
      <c r="J99" s="148">
        <v>0</v>
      </c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>
        <v>30</v>
      </c>
      <c r="X99" s="57"/>
      <c r="Y99" s="57"/>
      <c r="Z99" s="57"/>
      <c r="AA99" s="57"/>
      <c r="AB99" s="57"/>
      <c r="AC99" s="57"/>
      <c r="AD99" s="57"/>
      <c r="AE99" s="57"/>
      <c r="AF99" s="57">
        <v>80</v>
      </c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8">
        <f t="shared" si="1"/>
        <v>-70.677999999999997</v>
      </c>
      <c r="AV99" s="58"/>
    </row>
    <row r="100" spans="1:48" ht="13.5" customHeight="1">
      <c r="A100" s="84">
        <v>98</v>
      </c>
      <c r="B100" s="85">
        <v>158</v>
      </c>
      <c r="C100" s="85" t="s">
        <v>38</v>
      </c>
      <c r="D100" s="175">
        <v>120.94213558000007</v>
      </c>
      <c r="F100" s="45">
        <v>400</v>
      </c>
      <c r="G100" s="45">
        <v>264.58788000000004</v>
      </c>
      <c r="H100" s="56">
        <v>120.94213558000007</v>
      </c>
      <c r="I100" s="56">
        <v>120.94213558000007</v>
      </c>
      <c r="J100" s="148">
        <v>0</v>
      </c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8">
        <f t="shared" si="1"/>
        <v>120.94213558000007</v>
      </c>
      <c r="AV100" s="58"/>
    </row>
    <row r="101" spans="1:48" ht="13.5" customHeight="1">
      <c r="A101" s="82">
        <v>99</v>
      </c>
      <c r="B101" s="85">
        <v>164</v>
      </c>
      <c r="C101" s="85" t="s">
        <v>38</v>
      </c>
      <c r="D101" s="175">
        <v>-32.915324999999996</v>
      </c>
      <c r="F101" s="45">
        <v>441</v>
      </c>
      <c r="G101" s="45">
        <v>492</v>
      </c>
      <c r="H101" s="56">
        <v>137.084675</v>
      </c>
      <c r="I101" s="56">
        <v>137.084675</v>
      </c>
      <c r="J101" s="148">
        <v>0</v>
      </c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>
        <v>20</v>
      </c>
      <c r="AH101" s="57"/>
      <c r="AI101" s="57"/>
      <c r="AJ101" s="57"/>
      <c r="AK101" s="57"/>
      <c r="AL101" s="57"/>
      <c r="AM101" s="57"/>
      <c r="AN101" s="57"/>
      <c r="AO101" s="57"/>
      <c r="AP101" s="57">
        <v>150</v>
      </c>
      <c r="AQ101" s="57"/>
      <c r="AR101" s="57"/>
      <c r="AS101" s="57"/>
      <c r="AT101" s="57"/>
      <c r="AU101" s="58">
        <f t="shared" si="1"/>
        <v>-32.915324999999996</v>
      </c>
      <c r="AV101" s="58"/>
    </row>
    <row r="102" spans="1:48" ht="13.5" customHeight="1">
      <c r="A102" s="84">
        <v>100</v>
      </c>
      <c r="B102" s="85">
        <v>165</v>
      </c>
      <c r="C102" s="85" t="s">
        <v>38</v>
      </c>
      <c r="D102" s="175">
        <v>-362.67240000000015</v>
      </c>
      <c r="F102" s="45">
        <v>560</v>
      </c>
      <c r="G102" s="45">
        <v>600.86019999999996</v>
      </c>
      <c r="H102" s="56">
        <v>-162.17240000000015</v>
      </c>
      <c r="I102" s="56">
        <v>-162.17240000000015</v>
      </c>
      <c r="J102" s="148">
        <v>0</v>
      </c>
      <c r="K102" s="57"/>
      <c r="L102" s="57"/>
      <c r="M102" s="57"/>
      <c r="N102" s="57"/>
      <c r="O102" s="57"/>
      <c r="P102" s="57">
        <v>19.5</v>
      </c>
      <c r="Q102" s="57"/>
      <c r="R102" s="57"/>
      <c r="S102" s="57"/>
      <c r="T102" s="57"/>
      <c r="U102" s="57"/>
      <c r="V102" s="57"/>
      <c r="W102" s="57">
        <v>90</v>
      </c>
      <c r="X102" s="57">
        <v>65</v>
      </c>
      <c r="Y102" s="57"/>
      <c r="Z102" s="57"/>
      <c r="AA102" s="57"/>
      <c r="AB102" s="57"/>
      <c r="AC102" s="57"/>
      <c r="AD102" s="57">
        <v>26</v>
      </c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8">
        <f t="shared" si="1"/>
        <v>-362.67240000000015</v>
      </c>
      <c r="AV102" s="58"/>
    </row>
    <row r="103" spans="1:48" ht="13.5" customHeight="1">
      <c r="A103" s="82">
        <v>101</v>
      </c>
      <c r="B103" s="85">
        <v>167</v>
      </c>
      <c r="C103" s="85" t="s">
        <v>38</v>
      </c>
      <c r="D103" s="175">
        <v>-72.670400000000086</v>
      </c>
      <c r="F103" s="45">
        <v>560</v>
      </c>
      <c r="G103" s="45">
        <v>285.56771249999997</v>
      </c>
      <c r="H103" s="56">
        <v>-72.670400000000086</v>
      </c>
      <c r="I103" s="56">
        <v>-72.670400000000086</v>
      </c>
      <c r="J103" s="148">
        <v>0</v>
      </c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8">
        <f t="shared" si="1"/>
        <v>-72.670400000000086</v>
      </c>
      <c r="AV103" s="58"/>
    </row>
    <row r="104" spans="1:48" ht="13.5" customHeight="1">
      <c r="A104" s="84">
        <v>102</v>
      </c>
      <c r="B104" s="85">
        <v>168</v>
      </c>
      <c r="C104" s="85" t="s">
        <v>38</v>
      </c>
      <c r="D104" s="175">
        <v>-22.312999999999988</v>
      </c>
      <c r="F104" s="45">
        <v>250</v>
      </c>
      <c r="G104" s="45">
        <v>97.527000000000001</v>
      </c>
      <c r="H104" s="56">
        <v>512.68700000000001</v>
      </c>
      <c r="I104" s="56">
        <v>512.68700000000001</v>
      </c>
      <c r="J104" s="148">
        <v>0</v>
      </c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>
        <v>100</v>
      </c>
      <c r="AJ104" s="57"/>
      <c r="AK104" s="57"/>
      <c r="AL104" s="57"/>
      <c r="AM104" s="57"/>
      <c r="AN104" s="57"/>
      <c r="AO104" s="57"/>
      <c r="AP104" s="57">
        <v>435</v>
      </c>
      <c r="AQ104" s="57"/>
      <c r="AR104" s="57"/>
      <c r="AS104" s="57"/>
      <c r="AT104" s="57"/>
      <c r="AU104" s="58">
        <f t="shared" si="1"/>
        <v>-22.312999999999988</v>
      </c>
      <c r="AV104" s="58"/>
    </row>
    <row r="105" spans="1:48" ht="13.5" customHeight="1">
      <c r="A105" s="84">
        <v>103</v>
      </c>
      <c r="B105" s="85">
        <v>170</v>
      </c>
      <c r="C105" s="85" t="s">
        <v>38</v>
      </c>
      <c r="D105" s="175">
        <v>-127.50320000000001</v>
      </c>
      <c r="F105" s="45">
        <v>560</v>
      </c>
      <c r="G105" s="45">
        <v>179.916</v>
      </c>
      <c r="H105" s="56">
        <v>8.2968000000000046</v>
      </c>
      <c r="I105" s="56">
        <v>8.2968000000000046</v>
      </c>
      <c r="J105" s="148">
        <v>0</v>
      </c>
      <c r="K105" s="57"/>
      <c r="L105" s="57"/>
      <c r="M105" s="57"/>
      <c r="N105" s="57">
        <v>135.80000000000001</v>
      </c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8">
        <f t="shared" si="1"/>
        <v>-127.50320000000001</v>
      </c>
      <c r="AV105" s="58"/>
    </row>
    <row r="106" spans="1:48" ht="13.5" customHeight="1">
      <c r="A106" s="82">
        <v>104</v>
      </c>
      <c r="B106" s="85">
        <v>172</v>
      </c>
      <c r="C106" s="85" t="s">
        <v>38</v>
      </c>
      <c r="D106" s="175">
        <v>0.83220000000000027</v>
      </c>
      <c r="F106" s="45">
        <v>560</v>
      </c>
      <c r="G106" s="45">
        <v>422.80825499999997</v>
      </c>
      <c r="H106" s="56">
        <v>0.83220000000000027</v>
      </c>
      <c r="I106" s="56">
        <v>0.83220000000000027</v>
      </c>
      <c r="J106" s="148">
        <v>0</v>
      </c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8">
        <f t="shared" si="1"/>
        <v>0.83220000000000027</v>
      </c>
      <c r="AV106" s="58"/>
    </row>
    <row r="107" spans="1:48" ht="13.5" customHeight="1">
      <c r="A107" s="84">
        <v>105</v>
      </c>
      <c r="B107" s="85">
        <v>173</v>
      </c>
      <c r="C107" s="85" t="s">
        <v>38</v>
      </c>
      <c r="D107" s="175">
        <v>16.106999999999999</v>
      </c>
      <c r="F107" s="45">
        <v>180</v>
      </c>
      <c r="G107" s="45">
        <v>137.68620000000001</v>
      </c>
      <c r="H107" s="56">
        <v>16.106999999999999</v>
      </c>
      <c r="I107" s="56">
        <v>16.106999999999999</v>
      </c>
      <c r="J107" s="148">
        <v>0</v>
      </c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8">
        <f t="shared" si="1"/>
        <v>16.106999999999999</v>
      </c>
      <c r="AV107" s="58"/>
    </row>
    <row r="108" spans="1:48" ht="13.5" customHeight="1">
      <c r="A108" s="82">
        <v>106</v>
      </c>
      <c r="B108" s="85">
        <v>175</v>
      </c>
      <c r="C108" s="85" t="s">
        <v>38</v>
      </c>
      <c r="D108" s="175">
        <v>62.214234999999974</v>
      </c>
      <c r="F108" s="45">
        <v>251.99999999999997</v>
      </c>
      <c r="G108" s="45">
        <v>277.791</v>
      </c>
      <c r="H108" s="56">
        <v>62.214234999999974</v>
      </c>
      <c r="I108" s="56">
        <v>62.214234999999974</v>
      </c>
      <c r="J108" s="148">
        <v>0</v>
      </c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8">
        <f t="shared" si="1"/>
        <v>62.214234999999974</v>
      </c>
      <c r="AV108" s="58"/>
    </row>
    <row r="109" spans="1:48" ht="13.5" customHeight="1">
      <c r="A109" s="84">
        <v>107</v>
      </c>
      <c r="B109" s="85">
        <v>176</v>
      </c>
      <c r="C109" s="85" t="s">
        <v>38</v>
      </c>
      <c r="D109" s="175">
        <v>-8.4619100000000174</v>
      </c>
      <c r="F109" s="45">
        <v>630</v>
      </c>
      <c r="G109" s="45">
        <v>546.90809999999999</v>
      </c>
      <c r="H109" s="56">
        <v>-8.4619100000000174</v>
      </c>
      <c r="I109" s="56">
        <v>6.5380899999999826</v>
      </c>
      <c r="J109" s="148">
        <v>15</v>
      </c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8">
        <f t="shared" si="1"/>
        <v>-8.4619100000000174</v>
      </c>
      <c r="AV109" s="58"/>
    </row>
    <row r="110" spans="1:48" ht="13.5" customHeight="1">
      <c r="A110" s="84">
        <v>108</v>
      </c>
      <c r="B110" s="85">
        <v>179</v>
      </c>
      <c r="C110" s="85" t="s">
        <v>38</v>
      </c>
      <c r="D110" s="175">
        <v>40.396029999999996</v>
      </c>
      <c r="F110" s="45">
        <v>560</v>
      </c>
      <c r="G110" s="45">
        <v>325.289085</v>
      </c>
      <c r="H110" s="56">
        <v>40.396029999999996</v>
      </c>
      <c r="I110" s="56">
        <v>40.396029999999996</v>
      </c>
      <c r="J110" s="148">
        <v>0</v>
      </c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8">
        <f t="shared" si="1"/>
        <v>40.396029999999996</v>
      </c>
      <c r="AV110" s="58"/>
    </row>
    <row r="111" spans="1:48" ht="13.5" customHeight="1">
      <c r="A111" s="82">
        <v>109</v>
      </c>
      <c r="B111" s="85">
        <v>180</v>
      </c>
      <c r="C111" s="85" t="s">
        <v>38</v>
      </c>
      <c r="D111" s="175">
        <v>-426.41387500000008</v>
      </c>
      <c r="F111" s="45">
        <v>560</v>
      </c>
      <c r="G111" s="45">
        <v>632.65400000000022</v>
      </c>
      <c r="H111" s="56">
        <v>-246.41387500000008</v>
      </c>
      <c r="I111" s="56">
        <v>-246.41387500000008</v>
      </c>
      <c r="J111" s="148">
        <v>0</v>
      </c>
      <c r="K111" s="57"/>
      <c r="L111" s="57"/>
      <c r="M111" s="57"/>
      <c r="N111" s="57">
        <v>180</v>
      </c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8">
        <f t="shared" si="1"/>
        <v>-426.41387500000008</v>
      </c>
      <c r="AV111" s="58"/>
    </row>
    <row r="112" spans="1:48" ht="13.5" customHeight="1">
      <c r="A112" s="84">
        <v>110</v>
      </c>
      <c r="B112" s="85">
        <v>181</v>
      </c>
      <c r="C112" s="85" t="s">
        <v>38</v>
      </c>
      <c r="D112" s="175">
        <v>-84.502079999999978</v>
      </c>
      <c r="F112" s="45">
        <v>250</v>
      </c>
      <c r="G112" s="45">
        <v>182.178</v>
      </c>
      <c r="H112" s="56">
        <v>-64.502079999999978</v>
      </c>
      <c r="I112" s="56">
        <v>-64.502079999999978</v>
      </c>
      <c r="J112" s="148">
        <v>0</v>
      </c>
      <c r="K112" s="57"/>
      <c r="L112" s="57"/>
      <c r="M112" s="57"/>
      <c r="N112" s="57"/>
      <c r="O112" s="57">
        <v>20</v>
      </c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8">
        <f t="shared" si="1"/>
        <v>-84.502079999999978</v>
      </c>
      <c r="AV112" s="58"/>
    </row>
    <row r="113" spans="1:48" ht="13.5" customHeight="1">
      <c r="A113" s="82">
        <v>111</v>
      </c>
      <c r="B113" s="85">
        <v>182</v>
      </c>
      <c r="C113" s="85" t="s">
        <v>38</v>
      </c>
      <c r="D113" s="175">
        <v>-203.08690000000001</v>
      </c>
      <c r="F113" s="45">
        <v>400</v>
      </c>
      <c r="G113" s="45">
        <v>279.05786441999993</v>
      </c>
      <c r="H113" s="56">
        <v>-203.08690000000001</v>
      </c>
      <c r="I113" s="56">
        <v>-203.08690000000001</v>
      </c>
      <c r="J113" s="148">
        <v>0</v>
      </c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8">
        <f t="shared" si="1"/>
        <v>-203.08690000000001</v>
      </c>
      <c r="AV113" s="58"/>
    </row>
    <row r="114" spans="1:48" ht="13.5" customHeight="1">
      <c r="A114" s="84">
        <v>112</v>
      </c>
      <c r="B114" s="85">
        <v>183</v>
      </c>
      <c r="C114" s="85" t="s">
        <v>38</v>
      </c>
      <c r="D114" s="175">
        <v>-295.59000000000003</v>
      </c>
      <c r="F114" s="45">
        <v>320</v>
      </c>
      <c r="G114" s="45">
        <v>182.915325</v>
      </c>
      <c r="H114" s="56">
        <v>-88.009999999999991</v>
      </c>
      <c r="I114" s="56">
        <v>-88.009999999999991</v>
      </c>
      <c r="J114" s="148">
        <v>0</v>
      </c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>
        <v>207.58</v>
      </c>
      <c r="AT114" s="57"/>
      <c r="AU114" s="58">
        <f t="shared" si="1"/>
        <v>-295.59000000000003</v>
      </c>
      <c r="AV114" s="58"/>
    </row>
    <row r="115" spans="1:48" ht="13.5" customHeight="1">
      <c r="A115" s="84">
        <v>113</v>
      </c>
      <c r="B115" s="85">
        <v>187</v>
      </c>
      <c r="C115" s="85" t="s">
        <v>38</v>
      </c>
      <c r="D115" s="175">
        <v>36.58159999999998</v>
      </c>
      <c r="F115" s="45">
        <v>560</v>
      </c>
      <c r="G115" s="45">
        <v>686.17240000000015</v>
      </c>
      <c r="H115" s="56">
        <v>56.58159999999998</v>
      </c>
      <c r="I115" s="56">
        <v>56.58159999999998</v>
      </c>
      <c r="J115" s="148">
        <v>0</v>
      </c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>
        <v>20</v>
      </c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8">
        <f t="shared" si="1"/>
        <v>36.58159999999998</v>
      </c>
      <c r="AV115" s="58"/>
    </row>
    <row r="116" spans="1:48" ht="13.5" customHeight="1">
      <c r="A116" s="82">
        <v>114</v>
      </c>
      <c r="B116" s="85">
        <v>191</v>
      </c>
      <c r="C116" s="85" t="s">
        <v>38</v>
      </c>
      <c r="D116" s="175">
        <v>59.209289999999953</v>
      </c>
      <c r="F116" s="45">
        <v>560</v>
      </c>
      <c r="G116" s="45">
        <v>632.67040000000009</v>
      </c>
      <c r="H116" s="56">
        <v>379.20928999999995</v>
      </c>
      <c r="I116" s="56">
        <v>379.20928999999995</v>
      </c>
      <c r="J116" s="148">
        <v>0</v>
      </c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>
        <v>50</v>
      </c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>
        <v>150</v>
      </c>
      <c r="AN116" s="57"/>
      <c r="AO116" s="57">
        <v>20</v>
      </c>
      <c r="AP116" s="57">
        <v>100</v>
      </c>
      <c r="AQ116" s="57"/>
      <c r="AR116" s="57"/>
      <c r="AS116" s="57"/>
      <c r="AT116" s="57"/>
      <c r="AU116" s="58">
        <f t="shared" si="1"/>
        <v>59.209289999999953</v>
      </c>
      <c r="AV116" s="58"/>
    </row>
    <row r="117" spans="1:48" ht="13.5" customHeight="1">
      <c r="A117" s="84">
        <v>115</v>
      </c>
      <c r="B117" s="85">
        <v>192</v>
      </c>
      <c r="C117" s="85" t="s">
        <v>38</v>
      </c>
      <c r="D117" s="175">
        <v>-93.050000000000011</v>
      </c>
      <c r="H117" s="56"/>
      <c r="I117" s="56">
        <v>200</v>
      </c>
      <c r="J117" s="148">
        <v>267.05</v>
      </c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>
        <v>26</v>
      </c>
      <c r="AP117" s="57"/>
      <c r="AQ117" s="57"/>
      <c r="AR117" s="57"/>
      <c r="AS117" s="57"/>
      <c r="AT117" s="57"/>
      <c r="AU117" s="58">
        <f t="shared" si="1"/>
        <v>-93.050000000000011</v>
      </c>
      <c r="AV117" s="58"/>
    </row>
    <row r="118" spans="1:48" ht="13.5" customHeight="1">
      <c r="A118" s="82">
        <v>116</v>
      </c>
      <c r="B118" s="85">
        <v>194</v>
      </c>
      <c r="C118" s="85" t="s">
        <v>38</v>
      </c>
      <c r="D118" s="175">
        <v>-297.34365000000003</v>
      </c>
      <c r="F118" s="45">
        <v>882</v>
      </c>
      <c r="G118" s="45">
        <v>369.31299999999999</v>
      </c>
      <c r="H118" s="56">
        <v>2.6563499999999749</v>
      </c>
      <c r="I118" s="56">
        <v>2.6563499999999749</v>
      </c>
      <c r="J118" s="148">
        <v>0</v>
      </c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>
        <v>300</v>
      </c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8">
        <f t="shared" si="1"/>
        <v>-297.34365000000003</v>
      </c>
      <c r="AV118" s="58"/>
    </row>
    <row r="119" spans="1:48" ht="13.5" customHeight="1">
      <c r="A119" s="84">
        <v>117</v>
      </c>
      <c r="B119" s="85">
        <v>195</v>
      </c>
      <c r="C119" s="85" t="s">
        <v>38</v>
      </c>
      <c r="D119" s="175">
        <v>82</v>
      </c>
      <c r="H119" s="56"/>
      <c r="I119" s="56">
        <v>200</v>
      </c>
      <c r="J119" s="148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>
        <v>118</v>
      </c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8">
        <f t="shared" si="1"/>
        <v>82</v>
      </c>
      <c r="AV119" s="58"/>
    </row>
    <row r="120" spans="1:48" ht="13.5" customHeight="1">
      <c r="A120" s="84">
        <v>118</v>
      </c>
      <c r="B120" s="85">
        <v>197</v>
      </c>
      <c r="C120" s="85" t="s">
        <v>38</v>
      </c>
      <c r="D120" s="175">
        <v>7.3764600000000087</v>
      </c>
      <c r="F120" s="45">
        <v>160</v>
      </c>
      <c r="G120" s="45">
        <v>125.63669999999999</v>
      </c>
      <c r="H120" s="56">
        <v>66.376460000000009</v>
      </c>
      <c r="I120" s="56">
        <v>66.376460000000009</v>
      </c>
      <c r="J120" s="148">
        <v>0</v>
      </c>
      <c r="K120" s="57"/>
      <c r="L120" s="57"/>
      <c r="M120" s="57">
        <v>25</v>
      </c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>
        <v>16</v>
      </c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>
        <v>18</v>
      </c>
      <c r="AQ120" s="57"/>
      <c r="AR120" s="57"/>
      <c r="AS120" s="57"/>
      <c r="AT120" s="57"/>
      <c r="AU120" s="58">
        <f t="shared" si="1"/>
        <v>7.3764600000000087</v>
      </c>
      <c r="AV120" s="58"/>
    </row>
    <row r="121" spans="1:48" ht="13.5" customHeight="1">
      <c r="A121" s="82">
        <v>119</v>
      </c>
      <c r="B121" s="85">
        <v>198</v>
      </c>
      <c r="C121" s="85" t="s">
        <v>38</v>
      </c>
      <c r="D121" s="175">
        <v>300</v>
      </c>
      <c r="H121" s="56"/>
      <c r="I121" s="56">
        <v>320</v>
      </c>
      <c r="J121" s="148"/>
      <c r="K121" s="57"/>
      <c r="L121" s="57"/>
      <c r="M121" s="57"/>
      <c r="N121" s="57"/>
      <c r="O121" s="57"/>
      <c r="P121" s="57">
        <v>20</v>
      </c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8">
        <f t="shared" si="1"/>
        <v>300</v>
      </c>
      <c r="AV121" s="58"/>
    </row>
    <row r="122" spans="1:48" ht="13.5" customHeight="1">
      <c r="A122" s="84">
        <v>120</v>
      </c>
      <c r="B122" s="85">
        <v>199</v>
      </c>
      <c r="C122" s="85" t="s">
        <v>38</v>
      </c>
      <c r="D122" s="175">
        <v>121.60000000000002</v>
      </c>
      <c r="F122" s="45">
        <v>100</v>
      </c>
      <c r="G122" s="45">
        <v>84.703199999999995</v>
      </c>
      <c r="H122" s="56">
        <v>121.60000000000002</v>
      </c>
      <c r="I122" s="56">
        <v>121.60000000000002</v>
      </c>
      <c r="J122" s="148">
        <v>0</v>
      </c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8">
        <f t="shared" si="1"/>
        <v>121.60000000000002</v>
      </c>
      <c r="AV122" s="58"/>
    </row>
    <row r="123" spans="1:48" ht="13.5" customHeight="1">
      <c r="A123" s="82">
        <v>121</v>
      </c>
      <c r="B123" s="85">
        <v>200</v>
      </c>
      <c r="C123" s="85" t="s">
        <v>38</v>
      </c>
      <c r="D123" s="175">
        <v>132.91000000000003</v>
      </c>
      <c r="F123" s="45">
        <v>180</v>
      </c>
      <c r="G123" s="45">
        <v>179.1678</v>
      </c>
      <c r="H123" s="56">
        <v>132.91000000000003</v>
      </c>
      <c r="I123" s="56">
        <v>132.91000000000003</v>
      </c>
      <c r="J123" s="148">
        <v>0</v>
      </c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8">
        <f t="shared" si="1"/>
        <v>132.91000000000003</v>
      </c>
      <c r="AV123" s="58"/>
    </row>
    <row r="124" spans="1:48" ht="13.5" customHeight="1">
      <c r="A124" s="84">
        <v>122</v>
      </c>
      <c r="B124" s="85">
        <v>202</v>
      </c>
      <c r="C124" s="85" t="s">
        <v>38</v>
      </c>
      <c r="D124" s="175">
        <v>55.761967000000027</v>
      </c>
      <c r="F124" s="45">
        <v>160</v>
      </c>
      <c r="G124" s="45">
        <v>133.893</v>
      </c>
      <c r="H124" s="56">
        <v>55.761967000000027</v>
      </c>
      <c r="I124" s="56">
        <v>55.761967000000027</v>
      </c>
      <c r="J124" s="148">
        <v>0</v>
      </c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8">
        <f t="shared" si="1"/>
        <v>55.761967000000027</v>
      </c>
      <c r="AV124" s="58"/>
    </row>
    <row r="125" spans="1:48" ht="13.5" customHeight="1">
      <c r="A125" s="84">
        <v>123</v>
      </c>
      <c r="B125" s="85">
        <v>204</v>
      </c>
      <c r="C125" s="85" t="s">
        <v>38</v>
      </c>
      <c r="D125" s="175">
        <v>92.524740000000008</v>
      </c>
      <c r="F125" s="45">
        <v>630</v>
      </c>
      <c r="G125" s="45">
        <v>375.52484249999998</v>
      </c>
      <c r="H125" s="56">
        <v>92.524740000000008</v>
      </c>
      <c r="I125" s="56">
        <v>92.524740000000008</v>
      </c>
      <c r="J125" s="148">
        <v>0</v>
      </c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8">
        <f t="shared" si="1"/>
        <v>92.524740000000008</v>
      </c>
      <c r="AV125" s="58"/>
    </row>
    <row r="126" spans="1:48" ht="13.5" customHeight="1">
      <c r="A126" s="82">
        <v>124</v>
      </c>
      <c r="B126" s="85">
        <v>208</v>
      </c>
      <c r="C126" s="85" t="s">
        <v>38</v>
      </c>
      <c r="D126" s="175">
        <v>-551.48</v>
      </c>
      <c r="H126" s="56"/>
      <c r="I126" s="56">
        <v>-526.48</v>
      </c>
      <c r="J126" s="148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>
        <v>25</v>
      </c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8">
        <f t="shared" si="1"/>
        <v>-551.48</v>
      </c>
      <c r="AV126" s="58"/>
    </row>
    <row r="127" spans="1:48" ht="13.5" customHeight="1">
      <c r="A127" s="84">
        <v>125</v>
      </c>
      <c r="B127" s="85">
        <v>209</v>
      </c>
      <c r="C127" s="85" t="s">
        <v>38</v>
      </c>
      <c r="D127" s="175">
        <v>530</v>
      </c>
      <c r="H127" s="56"/>
      <c r="I127" s="56">
        <v>560</v>
      </c>
      <c r="J127" s="148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>
        <v>30</v>
      </c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8">
        <f t="shared" si="1"/>
        <v>530</v>
      </c>
      <c r="AV127" s="58"/>
    </row>
    <row r="128" spans="1:48" ht="13.5" customHeight="1">
      <c r="A128" s="82">
        <v>126</v>
      </c>
      <c r="B128" s="85">
        <v>212</v>
      </c>
      <c r="C128" s="85" t="s">
        <v>38</v>
      </c>
      <c r="D128" s="175">
        <v>-427.6</v>
      </c>
      <c r="F128" s="45">
        <v>400</v>
      </c>
      <c r="G128" s="45">
        <v>337.78576500000003</v>
      </c>
      <c r="H128" s="56">
        <v>-427.6</v>
      </c>
      <c r="I128" s="56">
        <v>-427.6</v>
      </c>
      <c r="J128" s="148">
        <v>0</v>
      </c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8">
        <f t="shared" si="1"/>
        <v>-427.6</v>
      </c>
      <c r="AV128" s="58"/>
    </row>
    <row r="129" spans="1:48" ht="13.5" customHeight="1">
      <c r="A129" s="84">
        <v>127</v>
      </c>
      <c r="B129" s="85">
        <v>213</v>
      </c>
      <c r="C129" s="85" t="s">
        <v>38</v>
      </c>
      <c r="D129" s="175">
        <v>115.60000000000002</v>
      </c>
      <c r="F129" s="45">
        <v>160</v>
      </c>
      <c r="G129" s="45">
        <v>153.46191000000002</v>
      </c>
      <c r="H129" s="56">
        <v>115.60000000000002</v>
      </c>
      <c r="I129" s="56">
        <v>115.60000000000002</v>
      </c>
      <c r="J129" s="148">
        <v>0</v>
      </c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8">
        <f t="shared" si="1"/>
        <v>115.60000000000002</v>
      </c>
      <c r="AV129" s="58"/>
    </row>
    <row r="130" spans="1:48" ht="13.5" customHeight="1">
      <c r="A130" s="84">
        <v>128</v>
      </c>
      <c r="B130" s="85">
        <v>214</v>
      </c>
      <c r="C130" s="85" t="s">
        <v>38</v>
      </c>
      <c r="D130" s="175">
        <v>173.16499999999999</v>
      </c>
      <c r="F130" s="45">
        <v>400</v>
      </c>
      <c r="G130" s="45">
        <v>284.60397</v>
      </c>
      <c r="H130" s="56">
        <v>193.16499999999999</v>
      </c>
      <c r="I130" s="56">
        <v>193.16499999999999</v>
      </c>
      <c r="J130" s="148">
        <v>0</v>
      </c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>
        <v>20</v>
      </c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8">
        <f t="shared" si="1"/>
        <v>173.16499999999999</v>
      </c>
      <c r="AV130" s="58"/>
    </row>
    <row r="131" spans="1:48" ht="13.5" customHeight="1">
      <c r="A131" s="82">
        <v>129</v>
      </c>
      <c r="B131" s="85">
        <v>215</v>
      </c>
      <c r="C131" s="85" t="s">
        <v>38</v>
      </c>
      <c r="D131" s="175">
        <v>-178.94</v>
      </c>
      <c r="F131" s="45">
        <v>882</v>
      </c>
      <c r="G131" s="45">
        <v>893.41387500000008</v>
      </c>
      <c r="H131" s="56">
        <v>-133.13999999999999</v>
      </c>
      <c r="I131" s="56">
        <v>-133.13999999999999</v>
      </c>
      <c r="J131" s="148">
        <v>0</v>
      </c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>
        <v>45.8</v>
      </c>
      <c r="AT131" s="57"/>
      <c r="AU131" s="58">
        <f t="shared" si="1"/>
        <v>-178.94</v>
      </c>
      <c r="AV131" s="58"/>
    </row>
    <row r="132" spans="1:48" ht="13.5" customHeight="1">
      <c r="A132" s="84">
        <v>130</v>
      </c>
      <c r="B132" s="85">
        <v>216</v>
      </c>
      <c r="C132" s="85" t="s">
        <v>38</v>
      </c>
      <c r="D132" s="175">
        <v>34.237120000000004</v>
      </c>
      <c r="F132" s="45">
        <v>560</v>
      </c>
      <c r="G132" s="45">
        <v>597.50207999999998</v>
      </c>
      <c r="H132" s="56">
        <v>111.23712</v>
      </c>
      <c r="I132" s="56">
        <v>111.23712</v>
      </c>
      <c r="J132" s="148">
        <v>0</v>
      </c>
      <c r="K132" s="57"/>
      <c r="L132" s="57"/>
      <c r="M132" s="57"/>
      <c r="N132" s="57">
        <v>25</v>
      </c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>
        <v>22</v>
      </c>
      <c r="AF132" s="57"/>
      <c r="AG132" s="57">
        <v>30</v>
      </c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8">
        <f t="shared" ref="AU132:AU195" si="2">I132-J132-K132-L132-M132-N132-O132-P132-Q132-R132-S132-T132-U132-V132-W132-X132-Y132-Z132-AA132-AB132-AC132-AD132-AE132-AF132-AG132-AH132-AI132-AJ132-AK132-AL132-AM132-AN132-AO132-AP132-AQ132-AR132-AS132-AT132</f>
        <v>34.237120000000004</v>
      </c>
      <c r="AV132" s="58"/>
    </row>
    <row r="133" spans="1:48" ht="13.5" customHeight="1">
      <c r="A133" s="82">
        <v>131</v>
      </c>
      <c r="B133" s="85">
        <v>219</v>
      </c>
      <c r="C133" s="85" t="s">
        <v>38</v>
      </c>
      <c r="D133" s="175">
        <v>-129.53660000000002</v>
      </c>
      <c r="F133" s="45">
        <v>400</v>
      </c>
      <c r="G133" s="45">
        <v>313.08690000000001</v>
      </c>
      <c r="H133" s="56">
        <v>-69.536600000000021</v>
      </c>
      <c r="I133" s="56">
        <v>-69.536600000000021</v>
      </c>
      <c r="J133" s="148">
        <v>0</v>
      </c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>
        <v>60</v>
      </c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8">
        <f t="shared" si="2"/>
        <v>-129.53660000000002</v>
      </c>
      <c r="AV133" s="58"/>
    </row>
    <row r="134" spans="1:48" ht="13.5" customHeight="1">
      <c r="A134" s="84">
        <v>132</v>
      </c>
      <c r="B134" s="85">
        <v>221</v>
      </c>
      <c r="C134" s="85" t="s">
        <v>38</v>
      </c>
      <c r="D134" s="175">
        <v>25.817530000000005</v>
      </c>
      <c r="F134" s="45">
        <v>448</v>
      </c>
      <c r="G134" s="45">
        <v>536.01</v>
      </c>
      <c r="H134" s="56">
        <v>25.817530000000005</v>
      </c>
      <c r="I134" s="56">
        <v>25.817530000000005</v>
      </c>
      <c r="J134" s="148">
        <v>0</v>
      </c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8">
        <f t="shared" si="2"/>
        <v>25.817530000000005</v>
      </c>
      <c r="AV134" s="58"/>
    </row>
    <row r="135" spans="1:48" ht="13.5" customHeight="1">
      <c r="A135" s="84">
        <v>133</v>
      </c>
      <c r="B135" s="85">
        <v>224</v>
      </c>
      <c r="C135" s="85" t="s">
        <v>38</v>
      </c>
      <c r="D135" s="175">
        <v>135.21777499999999</v>
      </c>
      <c r="F135" s="45">
        <v>250</v>
      </c>
      <c r="G135" s="45">
        <v>193.41840000000002</v>
      </c>
      <c r="H135" s="56">
        <v>135.21777499999999</v>
      </c>
      <c r="I135" s="56">
        <v>135.21777499999999</v>
      </c>
      <c r="J135" s="148">
        <v>0</v>
      </c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8">
        <f t="shared" si="2"/>
        <v>135.21777499999999</v>
      </c>
      <c r="AV135" s="58"/>
    </row>
    <row r="136" spans="1:48" ht="13.5" customHeight="1">
      <c r="A136" s="82">
        <v>134</v>
      </c>
      <c r="B136" s="85">
        <v>225</v>
      </c>
      <c r="C136" s="85" t="s">
        <v>38</v>
      </c>
      <c r="D136" s="175">
        <v>149.8707</v>
      </c>
      <c r="F136" s="45">
        <v>400</v>
      </c>
      <c r="G136" s="45">
        <v>308.19706499999995</v>
      </c>
      <c r="H136" s="56">
        <v>149.8707</v>
      </c>
      <c r="I136" s="56">
        <v>149.8707</v>
      </c>
      <c r="J136" s="148">
        <v>0</v>
      </c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8">
        <f t="shared" si="2"/>
        <v>149.8707</v>
      </c>
      <c r="AV136" s="58"/>
    </row>
    <row r="137" spans="1:48" ht="13.5" customHeight="1">
      <c r="A137" s="84">
        <v>135</v>
      </c>
      <c r="B137" s="85">
        <v>226</v>
      </c>
      <c r="C137" s="85" t="s">
        <v>38</v>
      </c>
      <c r="D137" s="175">
        <v>29.159059999999954</v>
      </c>
      <c r="F137" s="45">
        <v>882</v>
      </c>
      <c r="G137" s="45">
        <v>472.79071000000005</v>
      </c>
      <c r="H137" s="56">
        <v>29.159059999999954</v>
      </c>
      <c r="I137" s="56">
        <v>29.159059999999954</v>
      </c>
      <c r="J137" s="148">
        <v>0</v>
      </c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8">
        <f t="shared" si="2"/>
        <v>29.159059999999954</v>
      </c>
      <c r="AV137" s="58"/>
    </row>
    <row r="138" spans="1:48" ht="13.5" customHeight="1">
      <c r="A138" s="82">
        <v>136</v>
      </c>
      <c r="B138" s="85">
        <v>227</v>
      </c>
      <c r="C138" s="85" t="s">
        <v>38</v>
      </c>
      <c r="D138" s="175">
        <v>45.550000000000011</v>
      </c>
      <c r="F138" s="45">
        <v>560</v>
      </c>
      <c r="G138" s="45">
        <v>547.34365000000003</v>
      </c>
      <c r="H138" s="56">
        <v>45.550000000000011</v>
      </c>
      <c r="I138" s="56">
        <v>45.550000000000011</v>
      </c>
      <c r="J138" s="148">
        <v>0</v>
      </c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8">
        <f t="shared" si="2"/>
        <v>45.550000000000011</v>
      </c>
      <c r="AV138" s="58"/>
    </row>
    <row r="139" spans="1:48" ht="13.5" customHeight="1">
      <c r="A139" s="84">
        <v>137</v>
      </c>
      <c r="B139" s="85">
        <v>228</v>
      </c>
      <c r="C139" s="85" t="s">
        <v>38</v>
      </c>
      <c r="D139" s="175">
        <v>-100.710025</v>
      </c>
      <c r="F139" s="45">
        <v>400</v>
      </c>
      <c r="G139" s="45">
        <v>304.62353999999999</v>
      </c>
      <c r="H139" s="56">
        <v>-33.210025000000002</v>
      </c>
      <c r="I139" s="56">
        <v>-33.210025000000002</v>
      </c>
      <c r="J139" s="148">
        <v>0</v>
      </c>
      <c r="K139" s="57"/>
      <c r="L139" s="57"/>
      <c r="M139" s="57"/>
      <c r="N139" s="57"/>
      <c r="O139" s="57"/>
      <c r="P139" s="57"/>
      <c r="Q139" s="57"/>
      <c r="R139" s="57">
        <v>37.5</v>
      </c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>
        <v>30</v>
      </c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8">
        <f t="shared" si="2"/>
        <v>-100.710025</v>
      </c>
      <c r="AV139" s="58"/>
    </row>
    <row r="140" spans="1:48" ht="13.5" customHeight="1">
      <c r="A140" s="84">
        <v>138</v>
      </c>
      <c r="B140" s="85">
        <v>229</v>
      </c>
      <c r="C140" s="85" t="s">
        <v>38</v>
      </c>
      <c r="D140" s="175">
        <v>222.01785000000001</v>
      </c>
      <c r="F140" s="45">
        <v>400</v>
      </c>
      <c r="G140" s="45">
        <v>278.39999999999998</v>
      </c>
      <c r="H140" s="56">
        <v>222.01785000000001</v>
      </c>
      <c r="I140" s="56">
        <v>222.01785000000001</v>
      </c>
      <c r="J140" s="148">
        <v>0</v>
      </c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8">
        <f t="shared" si="2"/>
        <v>222.01785000000001</v>
      </c>
      <c r="AV140" s="58"/>
    </row>
    <row r="141" spans="1:48" ht="13.5" customHeight="1">
      <c r="A141" s="82">
        <v>139</v>
      </c>
      <c r="B141" s="85">
        <v>230</v>
      </c>
      <c r="C141" s="85" t="s">
        <v>38</v>
      </c>
      <c r="D141" s="175">
        <v>-69</v>
      </c>
      <c r="F141" s="45">
        <v>400</v>
      </c>
      <c r="G141" s="45">
        <v>267.08999999999997</v>
      </c>
      <c r="H141" s="56">
        <v>-40</v>
      </c>
      <c r="I141" s="56">
        <v>-40</v>
      </c>
      <c r="J141" s="148">
        <v>0</v>
      </c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>
        <v>29</v>
      </c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8">
        <f t="shared" si="2"/>
        <v>-69</v>
      </c>
      <c r="AV141" s="58"/>
    </row>
    <row r="142" spans="1:48" ht="13.5" customHeight="1">
      <c r="A142" s="84">
        <v>140</v>
      </c>
      <c r="B142" s="85">
        <v>233</v>
      </c>
      <c r="C142" s="85" t="s">
        <v>38</v>
      </c>
      <c r="D142" s="175">
        <v>77.693859999999972</v>
      </c>
      <c r="F142" s="45">
        <v>400</v>
      </c>
      <c r="G142" s="45">
        <v>344.23803299999997</v>
      </c>
      <c r="H142" s="56">
        <v>77.693859999999972</v>
      </c>
      <c r="I142" s="56">
        <v>77.693859999999972</v>
      </c>
      <c r="J142" s="148">
        <v>0</v>
      </c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8">
        <f t="shared" si="2"/>
        <v>77.693859999999972</v>
      </c>
      <c r="AV142" s="58"/>
    </row>
    <row r="143" spans="1:48" ht="13.5" customHeight="1">
      <c r="A143" s="82">
        <v>141</v>
      </c>
      <c r="B143" s="85">
        <v>234</v>
      </c>
      <c r="C143" s="85" t="s">
        <v>38</v>
      </c>
      <c r="D143" s="175">
        <v>108.28049999999999</v>
      </c>
      <c r="F143" s="45">
        <v>400</v>
      </c>
      <c r="G143" s="45">
        <v>278.39999999999998</v>
      </c>
      <c r="H143" s="56">
        <v>108.28049999999999</v>
      </c>
      <c r="I143" s="56">
        <v>108.28049999999999</v>
      </c>
      <c r="J143" s="148">
        <v>0</v>
      </c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8">
        <f t="shared" si="2"/>
        <v>108.28049999999999</v>
      </c>
      <c r="AV143" s="58"/>
    </row>
    <row r="144" spans="1:48" ht="13.5" customHeight="1">
      <c r="A144" s="84">
        <v>142</v>
      </c>
      <c r="B144" s="85">
        <v>235</v>
      </c>
      <c r="C144" s="85" t="s">
        <v>38</v>
      </c>
      <c r="D144" s="175">
        <v>87.654334999999946</v>
      </c>
      <c r="F144" s="45">
        <v>448</v>
      </c>
      <c r="G144" s="45">
        <v>345.47525999999999</v>
      </c>
      <c r="H144" s="56">
        <v>87.654334999999946</v>
      </c>
      <c r="I144" s="56">
        <v>87.654334999999946</v>
      </c>
      <c r="J144" s="148">
        <v>0</v>
      </c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8">
        <f t="shared" si="2"/>
        <v>87.654334999999946</v>
      </c>
      <c r="AV144" s="58"/>
    </row>
    <row r="145" spans="1:48" ht="13.5" customHeight="1">
      <c r="A145" s="84">
        <v>143</v>
      </c>
      <c r="B145" s="85">
        <v>239</v>
      </c>
      <c r="C145" s="85" t="s">
        <v>38</v>
      </c>
      <c r="D145" s="175">
        <v>47.651879999999949</v>
      </c>
      <c r="F145" s="45">
        <v>315</v>
      </c>
      <c r="G145" s="45">
        <v>164.43</v>
      </c>
      <c r="H145" s="56">
        <v>96.651879999999949</v>
      </c>
      <c r="I145" s="56">
        <v>96.651879999999949</v>
      </c>
      <c r="J145" s="148">
        <v>0</v>
      </c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>
        <v>27</v>
      </c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>
        <v>22</v>
      </c>
      <c r="AO145" s="57"/>
      <c r="AP145" s="57"/>
      <c r="AQ145" s="57"/>
      <c r="AR145" s="57"/>
      <c r="AS145" s="57"/>
      <c r="AT145" s="57"/>
      <c r="AU145" s="58">
        <f t="shared" si="2"/>
        <v>47.651879999999949</v>
      </c>
      <c r="AV145" s="58"/>
    </row>
    <row r="146" spans="1:48" ht="13.5" customHeight="1">
      <c r="A146" s="82">
        <v>144</v>
      </c>
      <c r="B146" s="85">
        <v>244</v>
      </c>
      <c r="C146" s="85" t="s">
        <v>38</v>
      </c>
      <c r="D146" s="175">
        <v>31.884539999999987</v>
      </c>
      <c r="F146" s="45">
        <v>448</v>
      </c>
      <c r="G146" s="45">
        <v>478.6</v>
      </c>
      <c r="H146" s="56">
        <v>156.88453999999999</v>
      </c>
      <c r="I146" s="56">
        <v>156.88453999999999</v>
      </c>
      <c r="J146" s="148">
        <v>0</v>
      </c>
      <c r="K146" s="57"/>
      <c r="L146" s="57"/>
      <c r="M146" s="57"/>
      <c r="N146" s="57"/>
      <c r="O146" s="57"/>
      <c r="P146" s="57"/>
      <c r="Q146" s="57">
        <v>20</v>
      </c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>
        <v>105</v>
      </c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8">
        <f t="shared" si="2"/>
        <v>31.884539999999987</v>
      </c>
      <c r="AV146" s="58"/>
    </row>
    <row r="147" spans="1:48" ht="13.5" customHeight="1">
      <c r="A147" s="84">
        <v>145</v>
      </c>
      <c r="B147" s="85">
        <v>245</v>
      </c>
      <c r="C147" s="85" t="s">
        <v>38</v>
      </c>
      <c r="D147" s="175">
        <v>-218.33</v>
      </c>
      <c r="F147" s="45">
        <v>400</v>
      </c>
      <c r="G147" s="45">
        <v>278.39999999999998</v>
      </c>
      <c r="H147" s="56">
        <v>4.6699999999999875</v>
      </c>
      <c r="I147" s="56">
        <v>4.6699999999999875</v>
      </c>
      <c r="J147" s="148">
        <v>0</v>
      </c>
      <c r="K147" s="57"/>
      <c r="L147" s="57"/>
      <c r="M147" s="57"/>
      <c r="N147" s="57">
        <v>100</v>
      </c>
      <c r="O147" s="57"/>
      <c r="P147" s="57"/>
      <c r="Q147" s="57"/>
      <c r="R147" s="57"/>
      <c r="S147" s="57"/>
      <c r="T147" s="57">
        <v>88</v>
      </c>
      <c r="U147" s="57"/>
      <c r="V147" s="57"/>
      <c r="W147" s="57"/>
      <c r="X147" s="57"/>
      <c r="Y147" s="57"/>
      <c r="Z147" s="57"/>
      <c r="AA147" s="57"/>
      <c r="AB147" s="57">
        <v>35</v>
      </c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8">
        <f t="shared" si="2"/>
        <v>-218.33</v>
      </c>
      <c r="AV147" s="58"/>
    </row>
    <row r="148" spans="1:48" ht="13.5" customHeight="1">
      <c r="A148" s="82">
        <v>146</v>
      </c>
      <c r="B148" s="85">
        <v>246</v>
      </c>
      <c r="C148" s="85" t="s">
        <v>38</v>
      </c>
      <c r="D148" s="175">
        <v>373.67284500000005</v>
      </c>
      <c r="F148" s="45">
        <v>400</v>
      </c>
      <c r="G148" s="45">
        <v>148.33500000000001</v>
      </c>
      <c r="H148" s="56">
        <v>373.67284500000005</v>
      </c>
      <c r="I148" s="56">
        <v>373.67284500000005</v>
      </c>
      <c r="J148" s="148">
        <v>0</v>
      </c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8">
        <f t="shared" si="2"/>
        <v>373.67284500000005</v>
      </c>
      <c r="AV148" s="58"/>
    </row>
    <row r="149" spans="1:48" ht="13.5" customHeight="1">
      <c r="A149" s="84">
        <v>147</v>
      </c>
      <c r="B149" s="85">
        <v>247</v>
      </c>
      <c r="C149" s="85" t="s">
        <v>38</v>
      </c>
      <c r="D149" s="175">
        <v>294.59312</v>
      </c>
      <c r="F149" s="45">
        <v>448</v>
      </c>
      <c r="G149" s="45">
        <v>506.34</v>
      </c>
      <c r="H149" s="56">
        <v>364.59312</v>
      </c>
      <c r="I149" s="56">
        <v>364.59312</v>
      </c>
      <c r="J149" s="148">
        <v>0</v>
      </c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>
        <v>70</v>
      </c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8">
        <f t="shared" si="2"/>
        <v>294.59312</v>
      </c>
      <c r="AV149" s="58"/>
    </row>
    <row r="150" spans="1:48" ht="13.5" customHeight="1">
      <c r="A150" s="84">
        <v>148</v>
      </c>
      <c r="B150" s="85">
        <v>248</v>
      </c>
      <c r="C150" s="85" t="s">
        <v>38</v>
      </c>
      <c r="D150" s="175">
        <v>346.68600000000004</v>
      </c>
      <c r="F150" s="45">
        <v>400</v>
      </c>
      <c r="G150" s="45">
        <v>266.76288</v>
      </c>
      <c r="H150" s="56">
        <v>346.68600000000004</v>
      </c>
      <c r="I150" s="56">
        <v>367.08600000000001</v>
      </c>
      <c r="J150" s="148">
        <v>20.399999999999999</v>
      </c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8">
        <f t="shared" si="2"/>
        <v>346.68600000000004</v>
      </c>
      <c r="AV150" s="58"/>
    </row>
    <row r="151" spans="1:48" ht="13.5" customHeight="1">
      <c r="A151" s="82">
        <v>149</v>
      </c>
      <c r="B151" s="85">
        <v>249</v>
      </c>
      <c r="C151" s="85" t="s">
        <v>38</v>
      </c>
      <c r="D151" s="175">
        <v>199.1350525</v>
      </c>
      <c r="F151" s="45">
        <v>350</v>
      </c>
      <c r="G151" s="45">
        <v>410</v>
      </c>
      <c r="H151" s="56">
        <v>199.1350525</v>
      </c>
      <c r="I151" s="56">
        <v>199.1350525</v>
      </c>
      <c r="J151" s="148">
        <v>0</v>
      </c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8">
        <f t="shared" si="2"/>
        <v>199.1350525</v>
      </c>
      <c r="AV151" s="58"/>
    </row>
    <row r="152" spans="1:48" ht="13.5" customHeight="1">
      <c r="A152" s="84">
        <v>150</v>
      </c>
      <c r="B152" s="85">
        <v>251</v>
      </c>
      <c r="C152" s="85" t="s">
        <v>38</v>
      </c>
      <c r="D152" s="175">
        <v>-47.125</v>
      </c>
      <c r="F152" s="45">
        <v>250</v>
      </c>
      <c r="G152" s="45">
        <v>133.10999999999999</v>
      </c>
      <c r="H152" s="56">
        <v>-10.125</v>
      </c>
      <c r="I152" s="56">
        <v>-10.125</v>
      </c>
      <c r="J152" s="148">
        <v>0</v>
      </c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>
        <v>37</v>
      </c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8">
        <f t="shared" si="2"/>
        <v>-47.125</v>
      </c>
      <c r="AV152" s="58"/>
    </row>
    <row r="153" spans="1:48" ht="13.5" customHeight="1">
      <c r="A153" s="82">
        <v>151</v>
      </c>
      <c r="B153" s="85">
        <v>252</v>
      </c>
      <c r="C153" s="85" t="s">
        <v>38</v>
      </c>
      <c r="D153" s="175">
        <v>-161.08630000000005</v>
      </c>
      <c r="F153" s="45">
        <v>560</v>
      </c>
      <c r="G153" s="45">
        <v>629.53660000000002</v>
      </c>
      <c r="H153" s="56">
        <v>-111.08630000000005</v>
      </c>
      <c r="I153" s="56">
        <v>-111.08630000000005</v>
      </c>
      <c r="J153" s="148">
        <v>0</v>
      </c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>
        <v>50</v>
      </c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8">
        <f t="shared" si="2"/>
        <v>-161.08630000000005</v>
      </c>
      <c r="AV153" s="58"/>
    </row>
    <row r="154" spans="1:48" ht="13.5" customHeight="1">
      <c r="A154" s="84">
        <v>152</v>
      </c>
      <c r="B154" s="85">
        <v>253</v>
      </c>
      <c r="C154" s="85" t="s">
        <v>38</v>
      </c>
      <c r="D154" s="175">
        <v>41</v>
      </c>
      <c r="H154" s="56"/>
      <c r="I154" s="56">
        <v>128</v>
      </c>
      <c r="J154" s="148">
        <v>37</v>
      </c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>
        <v>50</v>
      </c>
      <c r="AP154" s="57"/>
      <c r="AQ154" s="57"/>
      <c r="AR154" s="57"/>
      <c r="AS154" s="57"/>
      <c r="AT154" s="57"/>
      <c r="AU154" s="58">
        <f t="shared" si="2"/>
        <v>41</v>
      </c>
      <c r="AV154" s="58"/>
    </row>
    <row r="155" spans="1:48" ht="13.5" customHeight="1">
      <c r="A155" s="84">
        <v>153</v>
      </c>
      <c r="B155" s="85">
        <v>255</v>
      </c>
      <c r="C155" s="85" t="s">
        <v>38</v>
      </c>
      <c r="D155" s="175">
        <v>-132.65</v>
      </c>
      <c r="F155" s="45">
        <v>400</v>
      </c>
      <c r="G155" s="45">
        <v>304.77839999999998</v>
      </c>
      <c r="H155" s="56">
        <v>17.349999999999994</v>
      </c>
      <c r="I155" s="56">
        <v>17.349999999999994</v>
      </c>
      <c r="J155" s="148">
        <v>0</v>
      </c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>
        <v>150</v>
      </c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8">
        <f t="shared" si="2"/>
        <v>-132.65</v>
      </c>
      <c r="AV155" s="58"/>
    </row>
    <row r="156" spans="1:48" ht="13.5" customHeight="1">
      <c r="A156" s="82">
        <v>154</v>
      </c>
      <c r="B156" s="85">
        <v>256</v>
      </c>
      <c r="C156" s="85" t="s">
        <v>38</v>
      </c>
      <c r="D156" s="175">
        <v>-827.76</v>
      </c>
      <c r="F156" s="45">
        <v>250</v>
      </c>
      <c r="G156" s="45">
        <v>224.18247</v>
      </c>
      <c r="H156" s="56">
        <v>-41.67999999999995</v>
      </c>
      <c r="I156" s="56">
        <v>-41.67999999999995</v>
      </c>
      <c r="J156" s="148">
        <v>0</v>
      </c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>
        <v>670</v>
      </c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>
        <v>116.08</v>
      </c>
      <c r="AO156" s="57"/>
      <c r="AP156" s="57"/>
      <c r="AQ156" s="57"/>
      <c r="AR156" s="57"/>
      <c r="AS156" s="57"/>
      <c r="AT156" s="57"/>
      <c r="AU156" s="58">
        <f t="shared" si="2"/>
        <v>-827.76</v>
      </c>
      <c r="AV156" s="58"/>
    </row>
    <row r="157" spans="1:48" ht="13.5" customHeight="1">
      <c r="A157" s="84">
        <v>155</v>
      </c>
      <c r="B157" s="85">
        <v>258</v>
      </c>
      <c r="C157" s="85" t="s">
        <v>38</v>
      </c>
      <c r="D157" s="175">
        <v>71.36</v>
      </c>
      <c r="F157" s="45">
        <v>630</v>
      </c>
      <c r="G157" s="45">
        <v>445.44</v>
      </c>
      <c r="H157" s="56">
        <v>87.36</v>
      </c>
      <c r="I157" s="56">
        <v>87.36</v>
      </c>
      <c r="J157" s="148">
        <v>0</v>
      </c>
      <c r="K157" s="57"/>
      <c r="L157" s="57"/>
      <c r="M157" s="57"/>
      <c r="N157" s="57"/>
      <c r="O157" s="57"/>
      <c r="P157" s="57"/>
      <c r="Q157" s="57">
        <v>16</v>
      </c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8">
        <f t="shared" si="2"/>
        <v>71.36</v>
      </c>
      <c r="AV157" s="58"/>
    </row>
    <row r="158" spans="1:48" ht="13.5" customHeight="1">
      <c r="A158" s="82">
        <v>156</v>
      </c>
      <c r="B158" s="85">
        <v>259</v>
      </c>
      <c r="C158" s="85" t="s">
        <v>38</v>
      </c>
      <c r="D158" s="175">
        <v>82.040219999999977</v>
      </c>
      <c r="F158" s="45">
        <v>560</v>
      </c>
      <c r="G158" s="45">
        <v>421.18222500000002</v>
      </c>
      <c r="H158" s="56">
        <v>82.040219999999977</v>
      </c>
      <c r="I158" s="56">
        <v>82.040219999999977</v>
      </c>
      <c r="J158" s="148">
        <v>0</v>
      </c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8">
        <f t="shared" si="2"/>
        <v>82.040219999999977</v>
      </c>
      <c r="AV158" s="58"/>
    </row>
    <row r="159" spans="1:48" ht="13.5" customHeight="1">
      <c r="A159" s="84">
        <v>157</v>
      </c>
      <c r="B159" s="85">
        <v>261</v>
      </c>
      <c r="C159" s="85" t="s">
        <v>38</v>
      </c>
      <c r="D159" s="175">
        <v>194.39999999999998</v>
      </c>
      <c r="F159" s="45">
        <v>251.99999999999997</v>
      </c>
      <c r="G159" s="45">
        <v>102.12929999999999</v>
      </c>
      <c r="H159" s="56">
        <v>419.4</v>
      </c>
      <c r="I159" s="56">
        <v>419.4</v>
      </c>
      <c r="J159" s="148">
        <v>0</v>
      </c>
      <c r="K159" s="57"/>
      <c r="L159" s="57"/>
      <c r="M159" s="57">
        <v>120</v>
      </c>
      <c r="N159" s="57"/>
      <c r="O159" s="57"/>
      <c r="P159" s="57">
        <v>70</v>
      </c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>
        <v>35</v>
      </c>
      <c r="AT159" s="57"/>
      <c r="AU159" s="58">
        <f t="shared" si="2"/>
        <v>194.39999999999998</v>
      </c>
      <c r="AV159" s="58"/>
    </row>
    <row r="160" spans="1:48" ht="13.5" customHeight="1">
      <c r="A160" s="84">
        <v>158</v>
      </c>
      <c r="B160" s="85">
        <v>271</v>
      </c>
      <c r="C160" s="85" t="s">
        <v>38</v>
      </c>
      <c r="D160" s="175">
        <v>-55.269999999999982</v>
      </c>
      <c r="F160" s="45">
        <v>560</v>
      </c>
      <c r="G160" s="45">
        <v>530.84094000000005</v>
      </c>
      <c r="H160" s="56">
        <v>-55.269999999999982</v>
      </c>
      <c r="I160" s="56">
        <v>-55.269999999999982</v>
      </c>
      <c r="J160" s="148">
        <v>0</v>
      </c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8">
        <f t="shared" si="2"/>
        <v>-55.269999999999982</v>
      </c>
      <c r="AV160" s="58"/>
    </row>
    <row r="161" spans="1:48" ht="13.5" customHeight="1">
      <c r="A161" s="82">
        <v>159</v>
      </c>
      <c r="B161" s="85">
        <v>272</v>
      </c>
      <c r="C161" s="85" t="s">
        <v>38</v>
      </c>
      <c r="D161" s="175">
        <v>39.173439999999999</v>
      </c>
      <c r="F161" s="45">
        <v>250</v>
      </c>
      <c r="G161" s="45">
        <v>204.45</v>
      </c>
      <c r="H161" s="56">
        <v>204.17344</v>
      </c>
      <c r="I161" s="56">
        <v>204.17344</v>
      </c>
      <c r="J161" s="148">
        <v>0</v>
      </c>
      <c r="K161" s="57"/>
      <c r="L161" s="57"/>
      <c r="M161" s="57"/>
      <c r="N161" s="57"/>
      <c r="O161" s="57"/>
      <c r="P161" s="57"/>
      <c r="Q161" s="57">
        <v>65</v>
      </c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>
        <v>100</v>
      </c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8">
        <f t="shared" si="2"/>
        <v>39.173439999999999</v>
      </c>
      <c r="AV161" s="58"/>
    </row>
    <row r="162" spans="1:48" ht="13.5" customHeight="1">
      <c r="A162" s="84">
        <v>160</v>
      </c>
      <c r="B162" s="85">
        <v>279</v>
      </c>
      <c r="C162" s="85" t="s">
        <v>38</v>
      </c>
      <c r="D162" s="175">
        <v>139</v>
      </c>
      <c r="F162" s="45">
        <v>180</v>
      </c>
      <c r="G162" s="45">
        <v>146.210025</v>
      </c>
      <c r="H162" s="56">
        <v>139</v>
      </c>
      <c r="I162" s="56">
        <v>139</v>
      </c>
      <c r="J162" s="148">
        <v>0</v>
      </c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8">
        <f t="shared" si="2"/>
        <v>139</v>
      </c>
      <c r="AV162" s="58"/>
    </row>
    <row r="163" spans="1:48" ht="13.5" customHeight="1">
      <c r="A163" s="82">
        <v>161</v>
      </c>
      <c r="B163" s="85">
        <v>281</v>
      </c>
      <c r="C163" s="85" t="s">
        <v>38</v>
      </c>
      <c r="D163" s="175">
        <v>-174.95000000000005</v>
      </c>
      <c r="H163" s="56"/>
      <c r="I163" s="56">
        <v>560</v>
      </c>
      <c r="J163" s="148">
        <v>584.95000000000005</v>
      </c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>
        <v>150</v>
      </c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8">
        <f t="shared" si="2"/>
        <v>-174.95000000000005</v>
      </c>
      <c r="AV163" s="58"/>
    </row>
    <row r="164" spans="1:48" ht="13.5" customHeight="1">
      <c r="A164" s="84">
        <v>162</v>
      </c>
      <c r="B164" s="85">
        <v>282</v>
      </c>
      <c r="C164" s="85" t="s">
        <v>38</v>
      </c>
      <c r="D164" s="175">
        <v>-431.79999999999995</v>
      </c>
      <c r="H164" s="56"/>
      <c r="I164" s="56">
        <v>350</v>
      </c>
      <c r="J164" s="148">
        <v>756.8</v>
      </c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>
        <v>25</v>
      </c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8">
        <f t="shared" si="2"/>
        <v>-431.79999999999995</v>
      </c>
      <c r="AV164" s="58"/>
    </row>
    <row r="165" spans="1:48" ht="13.5" customHeight="1">
      <c r="A165" s="84">
        <v>163</v>
      </c>
      <c r="B165" s="85">
        <v>285</v>
      </c>
      <c r="C165" s="85" t="s">
        <v>38</v>
      </c>
      <c r="D165" s="175">
        <v>-61.633564999999976</v>
      </c>
      <c r="F165" s="45">
        <v>630</v>
      </c>
      <c r="G165" s="45">
        <v>407.98214999999999</v>
      </c>
      <c r="H165" s="56">
        <v>-61.633564999999976</v>
      </c>
      <c r="I165" s="56">
        <v>-61.633564999999976</v>
      </c>
      <c r="J165" s="148">
        <v>0</v>
      </c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8">
        <f t="shared" si="2"/>
        <v>-61.633564999999976</v>
      </c>
      <c r="AV165" s="58"/>
    </row>
    <row r="166" spans="1:48" ht="13.5" customHeight="1">
      <c r="A166" s="82">
        <v>164</v>
      </c>
      <c r="B166" s="85">
        <v>286</v>
      </c>
      <c r="C166" s="85" t="s">
        <v>38</v>
      </c>
      <c r="D166" s="175">
        <v>56.726200000000006</v>
      </c>
      <c r="F166" s="45">
        <v>560</v>
      </c>
      <c r="G166" s="45">
        <v>600</v>
      </c>
      <c r="H166" s="56">
        <v>56.726200000000006</v>
      </c>
      <c r="I166" s="56">
        <v>56.726200000000006</v>
      </c>
      <c r="J166" s="148">
        <v>0</v>
      </c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8">
        <f t="shared" si="2"/>
        <v>56.726200000000006</v>
      </c>
      <c r="AV166" s="58"/>
    </row>
    <row r="167" spans="1:48" ht="13.5" customHeight="1">
      <c r="A167" s="84">
        <v>165</v>
      </c>
      <c r="B167" s="85">
        <v>287</v>
      </c>
      <c r="C167" s="85" t="s">
        <v>38</v>
      </c>
      <c r="D167" s="175">
        <v>-1018.4530000000001</v>
      </c>
      <c r="F167" s="45">
        <v>448</v>
      </c>
      <c r="G167" s="45">
        <v>496</v>
      </c>
      <c r="H167" s="56">
        <v>-128.05300000000011</v>
      </c>
      <c r="I167" s="56">
        <v>-128.05300000000011</v>
      </c>
      <c r="J167" s="148">
        <v>0</v>
      </c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>
        <v>150</v>
      </c>
      <c r="Y167" s="57"/>
      <c r="Z167" s="57"/>
      <c r="AA167" s="57"/>
      <c r="AB167" s="57"/>
      <c r="AC167" s="57"/>
      <c r="AD167" s="57"/>
      <c r="AE167" s="57">
        <v>150</v>
      </c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>
        <v>50</v>
      </c>
      <c r="AQ167" s="57">
        <v>100</v>
      </c>
      <c r="AR167" s="57"/>
      <c r="AS167" s="57">
        <v>200.4</v>
      </c>
      <c r="AT167" s="57">
        <v>240</v>
      </c>
      <c r="AU167" s="58">
        <f t="shared" si="2"/>
        <v>-1018.4530000000001</v>
      </c>
      <c r="AV167" s="58"/>
    </row>
    <row r="168" spans="1:48" ht="13.5" customHeight="1">
      <c r="A168" s="82">
        <v>166</v>
      </c>
      <c r="B168" s="85">
        <v>289</v>
      </c>
      <c r="C168" s="85" t="s">
        <v>38</v>
      </c>
      <c r="D168" s="175">
        <v>-85.78</v>
      </c>
      <c r="F168" s="45">
        <v>250</v>
      </c>
      <c r="G168" s="45">
        <v>224.47531200000006</v>
      </c>
      <c r="H168" s="56">
        <v>-85.78</v>
      </c>
      <c r="I168" s="56">
        <v>-85.78</v>
      </c>
      <c r="J168" s="148">
        <v>0</v>
      </c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8">
        <f t="shared" si="2"/>
        <v>-85.78</v>
      </c>
      <c r="AV168" s="58"/>
    </row>
    <row r="169" spans="1:48" ht="13.5" customHeight="1">
      <c r="A169" s="84">
        <v>167</v>
      </c>
      <c r="B169" s="85">
        <v>290</v>
      </c>
      <c r="C169" s="85" t="s">
        <v>38</v>
      </c>
      <c r="D169" s="175">
        <v>-68.877899999999997</v>
      </c>
      <c r="F169" s="45">
        <v>320</v>
      </c>
      <c r="G169" s="45">
        <v>194.98614000000003</v>
      </c>
      <c r="H169" s="56">
        <v>111.1221</v>
      </c>
      <c r="I169" s="56">
        <v>111.1221</v>
      </c>
      <c r="J169" s="148">
        <v>0</v>
      </c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>
        <v>80</v>
      </c>
      <c r="AF169" s="57"/>
      <c r="AG169" s="57"/>
      <c r="AH169" s="57"/>
      <c r="AI169" s="57"/>
      <c r="AJ169" s="57"/>
      <c r="AK169" s="57"/>
      <c r="AL169" s="57">
        <v>40</v>
      </c>
      <c r="AM169" s="57"/>
      <c r="AN169" s="57"/>
      <c r="AO169" s="57"/>
      <c r="AP169" s="57"/>
      <c r="AQ169" s="57"/>
      <c r="AR169" s="57"/>
      <c r="AS169" s="57"/>
      <c r="AT169" s="57">
        <v>60</v>
      </c>
      <c r="AU169" s="58">
        <f t="shared" si="2"/>
        <v>-68.877899999999997</v>
      </c>
      <c r="AV169" s="58"/>
    </row>
    <row r="170" spans="1:48" ht="13.5" customHeight="1">
      <c r="A170" s="84">
        <v>168</v>
      </c>
      <c r="B170" s="85">
        <v>291</v>
      </c>
      <c r="C170" s="85" t="s">
        <v>38</v>
      </c>
      <c r="D170" s="175">
        <v>173.90191999999999</v>
      </c>
      <c r="F170" s="45">
        <v>400</v>
      </c>
      <c r="G170" s="45">
        <v>291.31950000000001</v>
      </c>
      <c r="H170" s="56">
        <v>173.90191999999999</v>
      </c>
      <c r="I170" s="56">
        <v>173.90191999999999</v>
      </c>
      <c r="J170" s="148">
        <v>0</v>
      </c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8">
        <f t="shared" si="2"/>
        <v>173.90191999999999</v>
      </c>
      <c r="AV170" s="58"/>
    </row>
    <row r="171" spans="1:48" ht="13.5" customHeight="1">
      <c r="A171" s="82">
        <v>169</v>
      </c>
      <c r="B171" s="85">
        <v>292</v>
      </c>
      <c r="C171" s="85" t="s">
        <v>38</v>
      </c>
      <c r="D171" s="175">
        <v>-720.88900000000001</v>
      </c>
      <c r="H171" s="56"/>
      <c r="I171" s="56">
        <v>560</v>
      </c>
      <c r="J171" s="185">
        <v>767.38900000000001</v>
      </c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>
        <v>290</v>
      </c>
      <c r="AP171" s="57"/>
      <c r="AQ171" s="57"/>
      <c r="AR171" s="57"/>
      <c r="AS171" s="57">
        <v>223.5</v>
      </c>
      <c r="AT171" s="57"/>
      <c r="AU171" s="58">
        <f t="shared" si="2"/>
        <v>-720.88900000000001</v>
      </c>
      <c r="AV171" s="58"/>
    </row>
    <row r="172" spans="1:48" ht="13.5" customHeight="1">
      <c r="A172" s="84">
        <v>170</v>
      </c>
      <c r="B172" s="85">
        <v>294</v>
      </c>
      <c r="C172" s="85" t="s">
        <v>38</v>
      </c>
      <c r="D172" s="175">
        <v>-155.54718499999998</v>
      </c>
      <c r="F172" s="45">
        <v>400</v>
      </c>
      <c r="G172" s="45">
        <v>292.34566500000005</v>
      </c>
      <c r="H172" s="56">
        <v>44.452815000000015</v>
      </c>
      <c r="I172" s="56">
        <v>44.452815000000015</v>
      </c>
      <c r="J172" s="148">
        <v>0</v>
      </c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>
        <v>100</v>
      </c>
      <c r="AK172" s="57"/>
      <c r="AL172" s="57"/>
      <c r="AM172" s="57"/>
      <c r="AN172" s="57"/>
      <c r="AO172" s="57">
        <v>100</v>
      </c>
      <c r="AP172" s="57"/>
      <c r="AQ172" s="57"/>
      <c r="AR172" s="57"/>
      <c r="AS172" s="57"/>
      <c r="AT172" s="57"/>
      <c r="AU172" s="58">
        <f t="shared" si="2"/>
        <v>-155.54718499999998</v>
      </c>
      <c r="AV172" s="58"/>
    </row>
    <row r="173" spans="1:48" ht="13.5" customHeight="1">
      <c r="A173" s="82">
        <v>171</v>
      </c>
      <c r="B173" s="85">
        <v>298</v>
      </c>
      <c r="C173" s="85" t="s">
        <v>38</v>
      </c>
      <c r="D173" s="175">
        <v>298.20999999999998</v>
      </c>
      <c r="F173" s="45">
        <v>400</v>
      </c>
      <c r="G173" s="45">
        <v>211.74908249999999</v>
      </c>
      <c r="H173" s="56">
        <v>298.20999999999998</v>
      </c>
      <c r="I173" s="56">
        <v>298.20999999999998</v>
      </c>
      <c r="J173" s="148">
        <v>0</v>
      </c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8">
        <f t="shared" si="2"/>
        <v>298.20999999999998</v>
      </c>
      <c r="AV173" s="58"/>
    </row>
    <row r="174" spans="1:48" ht="13.5" customHeight="1">
      <c r="A174" s="84">
        <v>172</v>
      </c>
      <c r="B174" s="85">
        <v>303</v>
      </c>
      <c r="C174" s="85" t="s">
        <v>38</v>
      </c>
      <c r="D174" s="175">
        <v>-589.95000000000005</v>
      </c>
      <c r="F174" s="45">
        <v>882</v>
      </c>
      <c r="G174" s="45">
        <v>437.73660000000001</v>
      </c>
      <c r="H174" s="56">
        <v>50.050000000000011</v>
      </c>
      <c r="I174" s="56">
        <v>50.050000000000011</v>
      </c>
      <c r="J174" s="148">
        <v>0</v>
      </c>
      <c r="K174" s="57"/>
      <c r="L174" s="57"/>
      <c r="M174" s="57"/>
      <c r="N174" s="57">
        <v>100</v>
      </c>
      <c r="O174" s="57">
        <v>50</v>
      </c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>
        <v>260</v>
      </c>
      <c r="AD174" s="57"/>
      <c r="AE174" s="57"/>
      <c r="AF174" s="57">
        <v>230</v>
      </c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8">
        <f t="shared" si="2"/>
        <v>-589.95000000000005</v>
      </c>
      <c r="AV174" s="58"/>
    </row>
    <row r="175" spans="1:48" ht="13.5" customHeight="1">
      <c r="A175" s="84">
        <v>173</v>
      </c>
      <c r="B175" s="85">
        <v>304</v>
      </c>
      <c r="C175" s="85" t="s">
        <v>38</v>
      </c>
      <c r="D175" s="175">
        <v>57.903999999999996</v>
      </c>
      <c r="F175" s="45">
        <v>400</v>
      </c>
      <c r="G175" s="45">
        <v>303.34812000000005</v>
      </c>
      <c r="H175" s="56">
        <v>57.903999999999996</v>
      </c>
      <c r="I175" s="56">
        <v>57.903999999999996</v>
      </c>
      <c r="J175" s="148">
        <v>0</v>
      </c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8">
        <f t="shared" si="2"/>
        <v>57.903999999999996</v>
      </c>
      <c r="AV175" s="58"/>
    </row>
    <row r="176" spans="1:48" ht="13.5" customHeight="1">
      <c r="A176" s="82">
        <v>174</v>
      </c>
      <c r="B176" s="85">
        <v>306</v>
      </c>
      <c r="C176" s="85" t="s">
        <v>38</v>
      </c>
      <c r="D176" s="175">
        <v>47.600000000000023</v>
      </c>
      <c r="F176" s="45">
        <v>250</v>
      </c>
      <c r="G176" s="45">
        <v>166.77464999999998</v>
      </c>
      <c r="H176" s="56">
        <v>47.600000000000023</v>
      </c>
      <c r="I176" s="56">
        <v>47.600000000000023</v>
      </c>
      <c r="J176" s="148">
        <v>0</v>
      </c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8">
        <f t="shared" si="2"/>
        <v>47.600000000000023</v>
      </c>
      <c r="AV176" s="58"/>
    </row>
    <row r="177" spans="1:48" ht="13.5" customHeight="1">
      <c r="A177" s="84">
        <v>175</v>
      </c>
      <c r="B177" s="85">
        <v>307</v>
      </c>
      <c r="C177" s="85" t="s">
        <v>38</v>
      </c>
      <c r="D177" s="175">
        <v>173.69386000000003</v>
      </c>
      <c r="F177" s="45">
        <v>400</v>
      </c>
      <c r="G177" s="45">
        <v>293.19</v>
      </c>
      <c r="H177" s="56">
        <v>173.69386000000003</v>
      </c>
      <c r="I177" s="56">
        <v>173.69386000000003</v>
      </c>
      <c r="J177" s="148">
        <v>0</v>
      </c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8">
        <f t="shared" si="2"/>
        <v>173.69386000000003</v>
      </c>
      <c r="AV177" s="58"/>
    </row>
    <row r="178" spans="1:48" ht="13.5" customHeight="1">
      <c r="A178" s="82">
        <v>176</v>
      </c>
      <c r="B178" s="85">
        <v>310</v>
      </c>
      <c r="C178" s="85" t="s">
        <v>38</v>
      </c>
      <c r="D178" s="175">
        <v>33.468074999999999</v>
      </c>
      <c r="F178" s="45">
        <v>315</v>
      </c>
      <c r="G178" s="45">
        <v>130.11546000000001</v>
      </c>
      <c r="H178" s="56">
        <v>33.468074999999999</v>
      </c>
      <c r="I178" s="56">
        <v>33.468074999999999</v>
      </c>
      <c r="J178" s="148">
        <v>0</v>
      </c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8">
        <f t="shared" si="2"/>
        <v>33.468074999999999</v>
      </c>
      <c r="AV178" s="58"/>
    </row>
    <row r="179" spans="1:48" ht="13.5" customHeight="1">
      <c r="A179" s="84">
        <v>177</v>
      </c>
      <c r="B179" s="85">
        <v>311</v>
      </c>
      <c r="C179" s="85" t="s">
        <v>38</v>
      </c>
      <c r="D179" s="175">
        <v>-570.95008000000007</v>
      </c>
      <c r="F179" s="45">
        <v>320</v>
      </c>
      <c r="G179" s="45">
        <v>225.33</v>
      </c>
      <c r="H179" s="56">
        <v>-342.25008000000003</v>
      </c>
      <c r="I179" s="56">
        <v>-342.25008000000003</v>
      </c>
      <c r="J179" s="148">
        <v>0</v>
      </c>
      <c r="K179" s="57"/>
      <c r="L179" s="57"/>
      <c r="M179" s="57"/>
      <c r="N179" s="57">
        <v>22</v>
      </c>
      <c r="O179" s="57"/>
      <c r="P179" s="57"/>
      <c r="Q179" s="57"/>
      <c r="R179" s="57"/>
      <c r="S179" s="57"/>
      <c r="T179" s="57"/>
      <c r="U179" s="57"/>
      <c r="V179" s="57"/>
      <c r="W179" s="57">
        <v>41.7</v>
      </c>
      <c r="X179" s="57"/>
      <c r="Y179" s="57"/>
      <c r="Z179" s="57"/>
      <c r="AA179" s="57"/>
      <c r="AB179" s="57"/>
      <c r="AC179" s="57"/>
      <c r="AD179" s="57">
        <v>16</v>
      </c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>
        <v>149</v>
      </c>
      <c r="AU179" s="58">
        <f t="shared" si="2"/>
        <v>-570.95008000000007</v>
      </c>
      <c r="AV179" s="58"/>
    </row>
    <row r="180" spans="1:48" ht="13.5" customHeight="1">
      <c r="A180" s="84">
        <v>178</v>
      </c>
      <c r="B180" s="85">
        <v>312</v>
      </c>
      <c r="C180" s="85" t="s">
        <v>38</v>
      </c>
      <c r="D180" s="175">
        <v>9.1290750000000003</v>
      </c>
      <c r="F180" s="45">
        <v>630</v>
      </c>
      <c r="G180" s="45">
        <v>235.32715499999998</v>
      </c>
      <c r="H180" s="56">
        <v>9.1290750000000003</v>
      </c>
      <c r="I180" s="56">
        <v>9.1290750000000003</v>
      </c>
      <c r="J180" s="148">
        <v>0</v>
      </c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8">
        <f t="shared" si="2"/>
        <v>9.1290750000000003</v>
      </c>
      <c r="AV180" s="58"/>
    </row>
    <row r="181" spans="1:48" ht="13.5" customHeight="1">
      <c r="A181" s="82">
        <v>179</v>
      </c>
      <c r="B181" s="85">
        <v>314</v>
      </c>
      <c r="C181" s="85" t="s">
        <v>38</v>
      </c>
      <c r="D181" s="175">
        <v>39.324999999999989</v>
      </c>
      <c r="F181" s="45">
        <v>630</v>
      </c>
      <c r="G181" s="45">
        <v>222.90687999999997</v>
      </c>
      <c r="H181" s="56">
        <v>124.32499999999999</v>
      </c>
      <c r="I181" s="56">
        <v>124.32499999999999</v>
      </c>
      <c r="J181" s="148">
        <v>0</v>
      </c>
      <c r="K181" s="57"/>
      <c r="L181" s="57"/>
      <c r="M181" s="57">
        <v>60</v>
      </c>
      <c r="N181" s="57">
        <v>25</v>
      </c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8">
        <f t="shared" si="2"/>
        <v>39.324999999999989</v>
      </c>
      <c r="AV181" s="58"/>
    </row>
    <row r="182" spans="1:48" ht="13.5" customHeight="1">
      <c r="A182" s="84">
        <v>180</v>
      </c>
      <c r="B182" s="85">
        <v>319</v>
      </c>
      <c r="C182" s="85" t="s">
        <v>38</v>
      </c>
      <c r="D182" s="175">
        <v>45.840000000000032</v>
      </c>
      <c r="F182" s="45">
        <v>630</v>
      </c>
      <c r="G182" s="45">
        <v>262.91399999999999</v>
      </c>
      <c r="H182" s="56">
        <v>525.84</v>
      </c>
      <c r="I182" s="56">
        <v>525.84</v>
      </c>
      <c r="J182" s="148">
        <v>0</v>
      </c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>
        <v>150</v>
      </c>
      <c r="W182" s="57"/>
      <c r="X182" s="57"/>
      <c r="Y182" s="57"/>
      <c r="Z182" s="57"/>
      <c r="AA182" s="57"/>
      <c r="AB182" s="57"/>
      <c r="AC182" s="57">
        <v>110</v>
      </c>
      <c r="AD182" s="57"/>
      <c r="AE182" s="57"/>
      <c r="AF182" s="57"/>
      <c r="AG182" s="57"/>
      <c r="AH182" s="57"/>
      <c r="AI182" s="57"/>
      <c r="AJ182" s="57"/>
      <c r="AK182" s="57">
        <v>220</v>
      </c>
      <c r="AL182" s="57"/>
      <c r="AM182" s="57"/>
      <c r="AN182" s="57"/>
      <c r="AO182" s="57"/>
      <c r="AP182" s="57"/>
      <c r="AQ182" s="57"/>
      <c r="AR182" s="57"/>
      <c r="AS182" s="57"/>
      <c r="AT182" s="57"/>
      <c r="AU182" s="58">
        <f t="shared" si="2"/>
        <v>45.840000000000032</v>
      </c>
      <c r="AV182" s="58"/>
    </row>
    <row r="183" spans="1:48" ht="13.5" customHeight="1">
      <c r="A183" s="82">
        <v>181</v>
      </c>
      <c r="B183" s="85">
        <v>323</v>
      </c>
      <c r="C183" s="85" t="s">
        <v>38</v>
      </c>
      <c r="D183" s="175">
        <v>155.71448000000009</v>
      </c>
      <c r="F183" s="45">
        <v>400</v>
      </c>
      <c r="G183" s="45">
        <v>200.8649475</v>
      </c>
      <c r="H183" s="56">
        <v>155.71448000000009</v>
      </c>
      <c r="I183" s="56">
        <v>155.71448000000009</v>
      </c>
      <c r="J183" s="148">
        <v>0</v>
      </c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8">
        <f t="shared" si="2"/>
        <v>155.71448000000009</v>
      </c>
      <c r="AV183" s="58"/>
    </row>
    <row r="184" spans="1:48" ht="13.5" customHeight="1">
      <c r="A184" s="84">
        <v>182</v>
      </c>
      <c r="B184" s="85">
        <v>324</v>
      </c>
      <c r="C184" s="85" t="s">
        <v>38</v>
      </c>
      <c r="D184" s="175">
        <v>89.393688000000054</v>
      </c>
      <c r="F184" s="45">
        <v>160</v>
      </c>
      <c r="G184" s="45">
        <v>163.125</v>
      </c>
      <c r="H184" s="56">
        <v>110.39368800000005</v>
      </c>
      <c r="I184" s="56">
        <v>110.39368800000005</v>
      </c>
      <c r="J184" s="148">
        <v>0</v>
      </c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>
        <v>21</v>
      </c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8">
        <f t="shared" si="2"/>
        <v>89.393688000000054</v>
      </c>
      <c r="AV184" s="58"/>
    </row>
    <row r="185" spans="1:48" ht="13.5" customHeight="1">
      <c r="A185" s="84">
        <v>183</v>
      </c>
      <c r="B185" s="85">
        <v>325</v>
      </c>
      <c r="C185" s="85" t="s">
        <v>38</v>
      </c>
      <c r="D185" s="175">
        <v>-134.59820000000002</v>
      </c>
      <c r="F185" s="45">
        <v>882</v>
      </c>
      <c r="G185" s="45">
        <v>929.58630000000005</v>
      </c>
      <c r="H185" s="56">
        <v>-114.59820000000002</v>
      </c>
      <c r="I185" s="56">
        <v>-114.59820000000002</v>
      </c>
      <c r="J185" s="148">
        <v>0</v>
      </c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>
        <v>20</v>
      </c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8">
        <f t="shared" si="2"/>
        <v>-134.59820000000002</v>
      </c>
      <c r="AV185" s="58"/>
    </row>
    <row r="186" spans="1:48" ht="13.5" customHeight="1">
      <c r="A186" s="82">
        <v>184</v>
      </c>
      <c r="B186" s="85">
        <v>326</v>
      </c>
      <c r="C186" s="85" t="s">
        <v>38</v>
      </c>
      <c r="D186" s="175">
        <v>132.41034999999999</v>
      </c>
      <c r="F186" s="45">
        <v>100</v>
      </c>
      <c r="G186" s="45">
        <v>82.65</v>
      </c>
      <c r="H186" s="56">
        <v>132.41034999999999</v>
      </c>
      <c r="I186" s="56">
        <v>132.41034999999999</v>
      </c>
      <c r="J186" s="148">
        <v>0</v>
      </c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8">
        <f t="shared" si="2"/>
        <v>132.41034999999999</v>
      </c>
      <c r="AV186" s="58"/>
    </row>
    <row r="187" spans="1:48" ht="13.5" customHeight="1">
      <c r="A187" s="84">
        <v>185</v>
      </c>
      <c r="B187" s="85">
        <v>327</v>
      </c>
      <c r="C187" s="85" t="s">
        <v>38</v>
      </c>
      <c r="D187" s="175">
        <v>87.4</v>
      </c>
      <c r="F187" s="45">
        <v>882</v>
      </c>
      <c r="G187" s="45">
        <v>923.68</v>
      </c>
      <c r="H187" s="56">
        <v>117.4</v>
      </c>
      <c r="I187" s="56">
        <v>117.4</v>
      </c>
      <c r="J187" s="148">
        <v>0</v>
      </c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>
        <v>30</v>
      </c>
      <c r="AS187" s="57"/>
      <c r="AT187" s="57"/>
      <c r="AU187" s="58">
        <f t="shared" si="2"/>
        <v>87.4</v>
      </c>
      <c r="AV187" s="58"/>
    </row>
    <row r="188" spans="1:48" ht="13.5" customHeight="1">
      <c r="A188" s="82">
        <v>186</v>
      </c>
      <c r="B188" s="85">
        <v>328</v>
      </c>
      <c r="C188" s="85" t="s">
        <v>38</v>
      </c>
      <c r="D188" s="175">
        <v>0.3502350000000547</v>
      </c>
      <c r="F188" s="45">
        <v>160</v>
      </c>
      <c r="G188" s="45">
        <v>62.64</v>
      </c>
      <c r="H188" s="56">
        <v>207.35023500000005</v>
      </c>
      <c r="I188" s="56">
        <v>207.35023500000005</v>
      </c>
      <c r="J188" s="148">
        <v>0</v>
      </c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>
        <v>170</v>
      </c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>
        <v>37</v>
      </c>
      <c r="AQ188" s="57"/>
      <c r="AR188" s="57"/>
      <c r="AS188" s="57"/>
      <c r="AT188" s="57"/>
      <c r="AU188" s="58">
        <f t="shared" si="2"/>
        <v>0.3502350000000547</v>
      </c>
      <c r="AV188" s="58"/>
    </row>
    <row r="189" spans="1:48" ht="13.5" customHeight="1">
      <c r="A189" s="84">
        <v>187</v>
      </c>
      <c r="B189" s="85">
        <v>329</v>
      </c>
      <c r="C189" s="85" t="s">
        <v>38</v>
      </c>
      <c r="D189" s="175">
        <v>-210.63</v>
      </c>
      <c r="H189" s="56"/>
      <c r="I189" s="56">
        <v>560</v>
      </c>
      <c r="J189" s="148">
        <v>638.63</v>
      </c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>
        <v>100</v>
      </c>
      <c r="AJ189" s="57">
        <v>32</v>
      </c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8">
        <f t="shared" si="2"/>
        <v>-210.63</v>
      </c>
      <c r="AV189" s="58"/>
    </row>
    <row r="190" spans="1:48" ht="13.5" customHeight="1">
      <c r="A190" s="84">
        <v>188</v>
      </c>
      <c r="B190" s="85">
        <v>330</v>
      </c>
      <c r="C190" s="85" t="s">
        <v>38</v>
      </c>
      <c r="D190" s="175">
        <v>33.124000000000052</v>
      </c>
      <c r="F190" s="45">
        <v>882</v>
      </c>
      <c r="G190" s="45">
        <v>799.95978000000002</v>
      </c>
      <c r="H190" s="56">
        <v>63.124000000000052</v>
      </c>
      <c r="I190" s="56">
        <v>63.124000000000052</v>
      </c>
      <c r="J190" s="148">
        <v>0</v>
      </c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>
        <v>30</v>
      </c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8">
        <f t="shared" si="2"/>
        <v>33.124000000000052</v>
      </c>
      <c r="AV190" s="58"/>
    </row>
    <row r="191" spans="1:48" ht="13.5" customHeight="1">
      <c r="A191" s="82">
        <v>189</v>
      </c>
      <c r="B191" s="85">
        <v>332</v>
      </c>
      <c r="C191" s="85" t="s">
        <v>38</v>
      </c>
      <c r="D191" s="175">
        <v>99.26359999999994</v>
      </c>
      <c r="F191" s="45">
        <v>630</v>
      </c>
      <c r="G191" s="45">
        <v>166.6</v>
      </c>
      <c r="H191" s="56">
        <v>99.26359999999994</v>
      </c>
      <c r="I191" s="56">
        <v>99.26359999999994</v>
      </c>
      <c r="J191" s="148">
        <v>0</v>
      </c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8">
        <f t="shared" si="2"/>
        <v>99.26359999999994</v>
      </c>
      <c r="AV191" s="58"/>
    </row>
    <row r="192" spans="1:48" ht="13.5" customHeight="1">
      <c r="A192" s="84">
        <v>190</v>
      </c>
      <c r="B192" s="85">
        <v>333</v>
      </c>
      <c r="C192" s="85" t="s">
        <v>38</v>
      </c>
      <c r="D192" s="175">
        <v>409</v>
      </c>
      <c r="H192" s="56"/>
      <c r="I192" s="56">
        <v>504</v>
      </c>
      <c r="J192" s="148"/>
      <c r="K192" s="57"/>
      <c r="L192" s="57"/>
      <c r="M192" s="57"/>
      <c r="N192" s="57"/>
      <c r="O192" s="57"/>
      <c r="P192" s="57">
        <v>95</v>
      </c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8">
        <f t="shared" si="2"/>
        <v>409</v>
      </c>
      <c r="AV192" s="58"/>
    </row>
    <row r="193" spans="1:48" ht="13.5" customHeight="1">
      <c r="A193" s="82">
        <v>191</v>
      </c>
      <c r="B193" s="85">
        <v>336</v>
      </c>
      <c r="C193" s="85" t="s">
        <v>38</v>
      </c>
      <c r="D193" s="175">
        <v>134.15029799999999</v>
      </c>
      <c r="F193" s="45">
        <v>560</v>
      </c>
      <c r="G193" s="45">
        <v>585.06240000000003</v>
      </c>
      <c r="H193" s="56">
        <v>184.15029799999999</v>
      </c>
      <c r="I193" s="56">
        <v>184.15029799999999</v>
      </c>
      <c r="J193" s="149">
        <v>0</v>
      </c>
      <c r="K193" s="57"/>
      <c r="L193" s="57"/>
      <c r="M193" s="57"/>
      <c r="N193" s="57"/>
      <c r="O193" s="57"/>
      <c r="P193" s="57"/>
      <c r="Q193" s="57"/>
      <c r="R193" s="57"/>
      <c r="S193" s="57"/>
      <c r="T193" s="57">
        <v>50</v>
      </c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8">
        <f t="shared" si="2"/>
        <v>134.15029799999999</v>
      </c>
      <c r="AV193" s="58"/>
    </row>
    <row r="194" spans="1:48" ht="13.5" customHeight="1">
      <c r="A194" s="84">
        <v>192</v>
      </c>
      <c r="B194" s="85">
        <v>338</v>
      </c>
      <c r="C194" s="85" t="s">
        <v>38</v>
      </c>
      <c r="D194" s="175">
        <v>-26.081400000000002</v>
      </c>
      <c r="F194" s="45">
        <v>315</v>
      </c>
      <c r="G194" s="45">
        <v>126.73290000000001</v>
      </c>
      <c r="H194" s="56">
        <v>71.918599999999998</v>
      </c>
      <c r="I194" s="56">
        <v>71.918599999999998</v>
      </c>
      <c r="J194" s="148">
        <v>0</v>
      </c>
      <c r="K194" s="57"/>
      <c r="L194" s="57">
        <v>98</v>
      </c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8">
        <f t="shared" si="2"/>
        <v>-26.081400000000002</v>
      </c>
      <c r="AV194" s="58"/>
    </row>
    <row r="195" spans="1:48" ht="13.5" customHeight="1">
      <c r="A195" s="84">
        <v>193</v>
      </c>
      <c r="B195" s="85">
        <v>339</v>
      </c>
      <c r="C195" s="85" t="s">
        <v>38</v>
      </c>
      <c r="D195" s="175">
        <v>-286.72000000000003</v>
      </c>
      <c r="H195" s="56"/>
      <c r="I195" s="56">
        <v>504</v>
      </c>
      <c r="J195" s="148">
        <v>760.72</v>
      </c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>
        <v>30</v>
      </c>
      <c r="AQ195" s="57"/>
      <c r="AR195" s="57"/>
      <c r="AS195" s="57"/>
      <c r="AT195" s="57"/>
      <c r="AU195" s="58">
        <f t="shared" si="2"/>
        <v>-286.72000000000003</v>
      </c>
      <c r="AV195" s="58"/>
    </row>
    <row r="196" spans="1:48" ht="13.5" customHeight="1">
      <c r="A196" s="82">
        <v>194</v>
      </c>
      <c r="B196" s="85">
        <v>340</v>
      </c>
      <c r="C196" s="85" t="s">
        <v>38</v>
      </c>
      <c r="D196" s="175">
        <v>832</v>
      </c>
      <c r="H196" s="56"/>
      <c r="I196" s="56">
        <v>882</v>
      </c>
      <c r="J196" s="148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>
        <v>50</v>
      </c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8">
        <f t="shared" ref="AU196:AU259" si="3">I196-J196-K196-L196-M196-N196-O196-P196-Q196-R196-S196-T196-U196-V196-W196-X196-Y196-Z196-AA196-AB196-AC196-AD196-AE196-AF196-AG196-AH196-AI196-AJ196-AK196-AL196-AM196-AN196-AO196-AP196-AQ196-AR196-AS196-AT196</f>
        <v>832</v>
      </c>
      <c r="AV196" s="58"/>
    </row>
    <row r="197" spans="1:48" ht="13.5" customHeight="1">
      <c r="A197" s="84">
        <v>195</v>
      </c>
      <c r="B197" s="85">
        <v>341</v>
      </c>
      <c r="C197" s="85" t="s">
        <v>38</v>
      </c>
      <c r="D197" s="175">
        <v>62.7</v>
      </c>
      <c r="F197" s="45">
        <v>320</v>
      </c>
      <c r="G197" s="45">
        <v>229.30502999999996</v>
      </c>
      <c r="H197" s="56">
        <v>84.5</v>
      </c>
      <c r="I197" s="56">
        <v>84.5</v>
      </c>
      <c r="J197" s="148">
        <v>0</v>
      </c>
      <c r="K197" s="57"/>
      <c r="L197" s="57"/>
      <c r="M197" s="57"/>
      <c r="N197" s="57"/>
      <c r="O197" s="57"/>
      <c r="P197" s="57"/>
      <c r="Q197" s="57"/>
      <c r="R197" s="57">
        <v>21.8</v>
      </c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8">
        <f t="shared" si="3"/>
        <v>62.7</v>
      </c>
      <c r="AV197" s="58"/>
    </row>
    <row r="198" spans="1:48" ht="13.5" customHeight="1">
      <c r="A198" s="82">
        <v>196</v>
      </c>
      <c r="B198" s="85">
        <v>349</v>
      </c>
      <c r="C198" s="85" t="s">
        <v>38</v>
      </c>
      <c r="D198" s="175">
        <v>54.25</v>
      </c>
      <c r="F198" s="45">
        <v>250</v>
      </c>
      <c r="G198" s="45">
        <v>109.576065</v>
      </c>
      <c r="H198" s="56">
        <v>54.25</v>
      </c>
      <c r="I198" s="56">
        <v>54.25</v>
      </c>
      <c r="J198" s="148">
        <v>0</v>
      </c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8">
        <f t="shared" si="3"/>
        <v>54.25</v>
      </c>
      <c r="AV198" s="58"/>
    </row>
    <row r="199" spans="1:48" ht="13.5" customHeight="1">
      <c r="A199" s="84">
        <v>197</v>
      </c>
      <c r="B199" s="85">
        <v>353</v>
      </c>
      <c r="C199" s="85" t="s">
        <v>38</v>
      </c>
      <c r="D199" s="175">
        <v>554.54</v>
      </c>
      <c r="F199" s="45">
        <v>400</v>
      </c>
      <c r="G199" s="45">
        <v>344.86712999999997</v>
      </c>
      <c r="H199" s="56">
        <v>554.54</v>
      </c>
      <c r="I199" s="56">
        <v>554.54</v>
      </c>
      <c r="J199" s="148">
        <v>0</v>
      </c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8">
        <f t="shared" si="3"/>
        <v>554.54</v>
      </c>
      <c r="AV199" s="58"/>
    </row>
    <row r="200" spans="1:48" ht="13.5" customHeight="1">
      <c r="A200" s="84">
        <v>198</v>
      </c>
      <c r="B200" s="85">
        <v>354</v>
      </c>
      <c r="C200" s="85" t="s">
        <v>38</v>
      </c>
      <c r="D200" s="175">
        <v>110.96179999999998</v>
      </c>
      <c r="F200" s="45">
        <v>448</v>
      </c>
      <c r="G200" s="45">
        <v>502.33580000000006</v>
      </c>
      <c r="H200" s="56">
        <v>154.96179999999998</v>
      </c>
      <c r="I200" s="56">
        <v>154.96179999999998</v>
      </c>
      <c r="J200" s="148">
        <v>0</v>
      </c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>
        <v>25</v>
      </c>
      <c r="AP200" s="57"/>
      <c r="AQ200" s="57"/>
      <c r="AR200" s="57">
        <v>19</v>
      </c>
      <c r="AS200" s="57"/>
      <c r="AT200" s="57"/>
      <c r="AU200" s="58">
        <f t="shared" si="3"/>
        <v>110.96179999999998</v>
      </c>
      <c r="AV200" s="58"/>
    </row>
    <row r="201" spans="1:48" ht="13.5" customHeight="1">
      <c r="A201" s="82">
        <v>199</v>
      </c>
      <c r="B201" s="85">
        <v>356</v>
      </c>
      <c r="C201" s="85" t="s">
        <v>38</v>
      </c>
      <c r="D201" s="175">
        <v>-29.86869999999999</v>
      </c>
      <c r="F201" s="45">
        <v>250</v>
      </c>
      <c r="G201" s="45">
        <v>305.27</v>
      </c>
      <c r="H201" s="56">
        <v>-29.86869999999999</v>
      </c>
      <c r="I201" s="56">
        <v>-29.86869999999999</v>
      </c>
      <c r="J201" s="148">
        <v>0</v>
      </c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8">
        <f t="shared" si="3"/>
        <v>-29.86869999999999</v>
      </c>
      <c r="AV201" s="58"/>
    </row>
    <row r="202" spans="1:48" ht="13.5" customHeight="1">
      <c r="A202" s="84">
        <v>200</v>
      </c>
      <c r="B202" s="85">
        <v>359</v>
      </c>
      <c r="C202" s="85" t="s">
        <v>38</v>
      </c>
      <c r="D202" s="175">
        <v>263.6857</v>
      </c>
      <c r="F202" s="45">
        <v>400</v>
      </c>
      <c r="G202" s="45">
        <v>195.82656</v>
      </c>
      <c r="H202" s="56">
        <v>263.6857</v>
      </c>
      <c r="I202" s="56">
        <v>263.6857</v>
      </c>
      <c r="J202" s="148">
        <v>0</v>
      </c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8">
        <f t="shared" si="3"/>
        <v>263.6857</v>
      </c>
      <c r="AV202" s="58"/>
    </row>
    <row r="203" spans="1:48" ht="13.5" customHeight="1">
      <c r="A203" s="82">
        <v>201</v>
      </c>
      <c r="B203" s="85">
        <v>360</v>
      </c>
      <c r="C203" s="85" t="s">
        <v>38</v>
      </c>
      <c r="D203" s="175">
        <v>406.69999999999987</v>
      </c>
      <c r="F203" s="45">
        <v>560</v>
      </c>
      <c r="G203" s="45">
        <v>475.91218499999997</v>
      </c>
      <c r="H203" s="56">
        <v>406.69999999999987</v>
      </c>
      <c r="I203" s="56">
        <v>406.69999999999987</v>
      </c>
      <c r="J203" s="148">
        <v>0</v>
      </c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8">
        <f t="shared" si="3"/>
        <v>406.69999999999987</v>
      </c>
      <c r="AV203" s="58"/>
    </row>
    <row r="204" spans="1:48" ht="13.5" customHeight="1">
      <c r="A204" s="84">
        <v>202</v>
      </c>
      <c r="B204" s="85">
        <v>361</v>
      </c>
      <c r="C204" s="85" t="s">
        <v>38</v>
      </c>
      <c r="D204" s="175">
        <v>272.88779999999997</v>
      </c>
      <c r="F204" s="45">
        <v>160</v>
      </c>
      <c r="G204" s="45">
        <v>138.33000000000001</v>
      </c>
      <c r="H204" s="56">
        <v>272.88779999999997</v>
      </c>
      <c r="I204" s="56">
        <v>272.88779999999997</v>
      </c>
      <c r="J204" s="148">
        <v>0</v>
      </c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8">
        <f t="shared" si="3"/>
        <v>272.88779999999997</v>
      </c>
      <c r="AV204" s="58"/>
    </row>
    <row r="205" spans="1:48" ht="13.5" customHeight="1">
      <c r="A205" s="84">
        <v>203</v>
      </c>
      <c r="B205" s="85">
        <v>363</v>
      </c>
      <c r="C205" s="85" t="s">
        <v>38</v>
      </c>
      <c r="D205" s="175">
        <v>-138.43</v>
      </c>
      <c r="H205" s="56"/>
      <c r="I205" s="56">
        <v>200</v>
      </c>
      <c r="J205" s="148">
        <v>317.43</v>
      </c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>
        <v>21</v>
      </c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8">
        <f t="shared" si="3"/>
        <v>-138.43</v>
      </c>
      <c r="AV205" s="58"/>
    </row>
    <row r="206" spans="1:48" ht="13.5" customHeight="1">
      <c r="A206" s="82">
        <v>204</v>
      </c>
      <c r="B206" s="85">
        <v>364</v>
      </c>
      <c r="C206" s="85" t="s">
        <v>38</v>
      </c>
      <c r="D206" s="175">
        <v>91.813299999999998</v>
      </c>
      <c r="F206" s="45">
        <v>400</v>
      </c>
      <c r="G206" s="45">
        <v>261</v>
      </c>
      <c r="H206" s="56">
        <v>91.813299999999998</v>
      </c>
      <c r="I206" s="56">
        <v>91.813299999999998</v>
      </c>
      <c r="J206" s="148">
        <v>0</v>
      </c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8">
        <f t="shared" si="3"/>
        <v>91.813299999999998</v>
      </c>
      <c r="AV206" s="58"/>
    </row>
    <row r="207" spans="1:48" ht="13.5" customHeight="1">
      <c r="A207" s="84">
        <v>205</v>
      </c>
      <c r="B207" s="85">
        <v>366</v>
      </c>
      <c r="C207" s="85" t="s">
        <v>38</v>
      </c>
      <c r="D207" s="175">
        <v>-208.14500000000001</v>
      </c>
      <c r="F207" s="45">
        <v>250</v>
      </c>
      <c r="G207" s="45">
        <v>311.63356499999998</v>
      </c>
      <c r="H207" s="56">
        <v>-68.14500000000001</v>
      </c>
      <c r="I207" s="56">
        <v>-68.14500000000001</v>
      </c>
      <c r="J207" s="148">
        <v>0</v>
      </c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>
        <v>140</v>
      </c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8">
        <f t="shared" si="3"/>
        <v>-208.14500000000001</v>
      </c>
      <c r="AV207" s="58"/>
    </row>
    <row r="208" spans="1:48" ht="13.5" customHeight="1">
      <c r="A208" s="82">
        <v>206</v>
      </c>
      <c r="B208" s="85">
        <v>371</v>
      </c>
      <c r="C208" s="85" t="s">
        <v>38</v>
      </c>
      <c r="D208" s="175">
        <v>4.7568199999999763</v>
      </c>
      <c r="F208" s="45">
        <v>100</v>
      </c>
      <c r="G208" s="45">
        <v>43.273799999999994</v>
      </c>
      <c r="H208" s="56">
        <v>144.75681999999998</v>
      </c>
      <c r="I208" s="56">
        <v>144.75681999999998</v>
      </c>
      <c r="J208" s="148">
        <v>0</v>
      </c>
      <c r="K208" s="57"/>
      <c r="L208" s="57"/>
      <c r="M208" s="57"/>
      <c r="N208" s="57"/>
      <c r="O208" s="57"/>
      <c r="P208" s="57"/>
      <c r="Q208" s="57"/>
      <c r="R208" s="57"/>
      <c r="S208" s="57">
        <v>50</v>
      </c>
      <c r="T208" s="57"/>
      <c r="U208" s="57"/>
      <c r="V208" s="57"/>
      <c r="W208" s="57"/>
      <c r="X208" s="57"/>
      <c r="Y208" s="57"/>
      <c r="Z208" s="57"/>
      <c r="AA208" s="57"/>
      <c r="AB208" s="57"/>
      <c r="AC208" s="57">
        <v>90</v>
      </c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8">
        <f t="shared" si="3"/>
        <v>4.7568199999999763</v>
      </c>
      <c r="AV208" s="58"/>
    </row>
    <row r="209" spans="1:48" ht="13.5" customHeight="1">
      <c r="A209" s="84">
        <v>207</v>
      </c>
      <c r="B209" s="85">
        <v>372</v>
      </c>
      <c r="C209" s="85" t="s">
        <v>38</v>
      </c>
      <c r="D209" s="175">
        <v>152.70699999999999</v>
      </c>
      <c r="F209" s="45">
        <v>630</v>
      </c>
      <c r="G209" s="45">
        <v>628.05300000000011</v>
      </c>
      <c r="H209" s="56">
        <v>217.70699999999999</v>
      </c>
      <c r="I209" s="56">
        <v>217.70699999999999</v>
      </c>
      <c r="J209" s="148">
        <v>0</v>
      </c>
      <c r="K209" s="57"/>
      <c r="L209" s="57"/>
      <c r="M209" s="57"/>
      <c r="N209" s="57">
        <v>30</v>
      </c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>
        <v>35</v>
      </c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8">
        <f t="shared" si="3"/>
        <v>152.70699999999999</v>
      </c>
      <c r="AV209" s="58"/>
    </row>
    <row r="210" spans="1:48" ht="13.5" customHeight="1">
      <c r="A210" s="84">
        <v>208</v>
      </c>
      <c r="B210" s="85">
        <v>374</v>
      </c>
      <c r="C210" s="85" t="s">
        <v>38</v>
      </c>
      <c r="D210" s="175">
        <v>223.5</v>
      </c>
      <c r="F210" s="45">
        <v>320</v>
      </c>
      <c r="G210" s="45">
        <v>255.78</v>
      </c>
      <c r="H210" s="56">
        <v>223.5</v>
      </c>
      <c r="I210" s="56">
        <v>223.5</v>
      </c>
      <c r="J210" s="148">
        <v>0</v>
      </c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8">
        <f t="shared" si="3"/>
        <v>223.5</v>
      </c>
      <c r="AV210" s="58"/>
    </row>
    <row r="211" spans="1:48" ht="13.5" customHeight="1">
      <c r="A211" s="82">
        <v>209</v>
      </c>
      <c r="B211" s="85">
        <v>380</v>
      </c>
      <c r="C211" s="85" t="s">
        <v>38</v>
      </c>
      <c r="D211" s="175">
        <v>-405.52</v>
      </c>
      <c r="H211" s="56"/>
      <c r="I211" s="56">
        <v>560</v>
      </c>
      <c r="J211" s="148">
        <v>915.52</v>
      </c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>
        <v>50</v>
      </c>
      <c r="AR211" s="57"/>
      <c r="AS211" s="57"/>
      <c r="AT211" s="57"/>
      <c r="AU211" s="58">
        <f t="shared" si="3"/>
        <v>-405.52</v>
      </c>
      <c r="AV211" s="58"/>
    </row>
    <row r="212" spans="1:48" ht="13.5" customHeight="1">
      <c r="A212" s="84">
        <v>210</v>
      </c>
      <c r="B212" s="85">
        <v>381</v>
      </c>
      <c r="C212" s="85" t="s">
        <v>38</v>
      </c>
      <c r="D212" s="175">
        <v>-175.5</v>
      </c>
      <c r="H212" s="56"/>
      <c r="I212" s="56">
        <v>200</v>
      </c>
      <c r="J212" s="148">
        <v>204.5</v>
      </c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>
        <v>150</v>
      </c>
      <c r="AM212" s="57"/>
      <c r="AN212" s="57"/>
      <c r="AO212" s="57"/>
      <c r="AP212" s="57">
        <v>21</v>
      </c>
      <c r="AQ212" s="57"/>
      <c r="AR212" s="57"/>
      <c r="AS212" s="57"/>
      <c r="AT212" s="57"/>
      <c r="AU212" s="58">
        <f t="shared" si="3"/>
        <v>-175.5</v>
      </c>
      <c r="AV212" s="58"/>
    </row>
    <row r="213" spans="1:48" ht="13.5" customHeight="1">
      <c r="A213" s="82">
        <v>211</v>
      </c>
      <c r="B213" s="85">
        <v>383</v>
      </c>
      <c r="C213" s="85" t="s">
        <v>38</v>
      </c>
      <c r="D213" s="175">
        <v>60.082299999999975</v>
      </c>
      <c r="F213" s="45">
        <v>180</v>
      </c>
      <c r="G213" s="45">
        <v>68.877899999999997</v>
      </c>
      <c r="H213" s="56">
        <v>60.082299999999975</v>
      </c>
      <c r="I213" s="56">
        <v>60.082299999999975</v>
      </c>
      <c r="J213" s="148">
        <v>0</v>
      </c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8">
        <f t="shared" si="3"/>
        <v>60.082299999999975</v>
      </c>
      <c r="AV213" s="58"/>
    </row>
    <row r="214" spans="1:48" ht="13.5" customHeight="1">
      <c r="A214" s="84">
        <v>212</v>
      </c>
      <c r="B214" s="85">
        <v>384</v>
      </c>
      <c r="C214" s="85" t="s">
        <v>38</v>
      </c>
      <c r="D214" s="175">
        <v>-286.80000000000007</v>
      </c>
      <c r="F214" s="45">
        <v>320</v>
      </c>
      <c r="G214" s="45">
        <v>137.09808000000001</v>
      </c>
      <c r="H214" s="56">
        <v>-106.80000000000007</v>
      </c>
      <c r="I214" s="56">
        <v>-106.80000000000007</v>
      </c>
      <c r="J214" s="148">
        <v>0</v>
      </c>
      <c r="K214" s="57"/>
      <c r="L214" s="57"/>
      <c r="M214" s="57"/>
      <c r="N214" s="57"/>
      <c r="O214" s="57"/>
      <c r="P214" s="57"/>
      <c r="Q214" s="57"/>
      <c r="R214" s="57"/>
      <c r="S214" s="57">
        <v>30</v>
      </c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>
        <v>150</v>
      </c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8">
        <f t="shared" si="3"/>
        <v>-286.80000000000007</v>
      </c>
      <c r="AV214" s="58"/>
    </row>
    <row r="215" spans="1:48" ht="13.5" customHeight="1">
      <c r="A215" s="84">
        <v>213</v>
      </c>
      <c r="B215" s="85">
        <v>385</v>
      </c>
      <c r="C215" s="85" t="s">
        <v>38</v>
      </c>
      <c r="D215" s="175">
        <v>-84.759999999999991</v>
      </c>
      <c r="F215" s="45">
        <v>250</v>
      </c>
      <c r="G215" s="45">
        <v>180.54718499999998</v>
      </c>
      <c r="H215" s="56">
        <v>-39.759999999999991</v>
      </c>
      <c r="I215" s="56">
        <v>-39.759999999999991</v>
      </c>
      <c r="J215" s="148">
        <v>0</v>
      </c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>
        <v>45</v>
      </c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8">
        <f t="shared" si="3"/>
        <v>-84.759999999999991</v>
      </c>
      <c r="AV215" s="58"/>
    </row>
    <row r="216" spans="1:48" ht="13.5" customHeight="1">
      <c r="A216" s="82">
        <v>214</v>
      </c>
      <c r="B216" s="85">
        <v>388</v>
      </c>
      <c r="C216" s="85" t="s">
        <v>38</v>
      </c>
      <c r="D216" s="175">
        <v>-429.95029999999997</v>
      </c>
      <c r="F216" s="45">
        <v>400</v>
      </c>
      <c r="G216" s="45">
        <v>101.79</v>
      </c>
      <c r="H216" s="56">
        <v>-229.9503</v>
      </c>
      <c r="I216" s="56">
        <v>-229.9503</v>
      </c>
      <c r="J216" s="148">
        <v>0</v>
      </c>
      <c r="K216" s="57"/>
      <c r="L216" s="57"/>
      <c r="M216" s="57"/>
      <c r="N216" s="57"/>
      <c r="O216" s="57">
        <v>200</v>
      </c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8">
        <f t="shared" si="3"/>
        <v>-429.95029999999997</v>
      </c>
      <c r="AV216" s="58"/>
    </row>
    <row r="217" spans="1:48" ht="13.5" customHeight="1">
      <c r="A217" s="84">
        <v>215</v>
      </c>
      <c r="B217" s="85">
        <v>389</v>
      </c>
      <c r="C217" s="85" t="s">
        <v>38</v>
      </c>
      <c r="D217" s="175">
        <v>297.94362000000001</v>
      </c>
      <c r="F217" s="45">
        <v>400</v>
      </c>
      <c r="G217" s="45">
        <v>334.95</v>
      </c>
      <c r="H217" s="56">
        <v>297.94362000000001</v>
      </c>
      <c r="I217" s="56">
        <v>297.94362000000001</v>
      </c>
      <c r="J217" s="148">
        <v>0</v>
      </c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8">
        <f t="shared" si="3"/>
        <v>297.94362000000001</v>
      </c>
      <c r="AV217" s="58"/>
    </row>
    <row r="218" spans="1:48" ht="13.5" customHeight="1">
      <c r="A218" s="82">
        <v>216</v>
      </c>
      <c r="B218" s="85">
        <v>390</v>
      </c>
      <c r="C218" s="85" t="s">
        <v>38</v>
      </c>
      <c r="D218" s="175">
        <v>158.04952</v>
      </c>
      <c r="F218" s="45">
        <v>250</v>
      </c>
      <c r="G218" s="45">
        <v>192.096</v>
      </c>
      <c r="H218" s="56">
        <v>158.04952</v>
      </c>
      <c r="I218" s="56">
        <v>158.04952</v>
      </c>
      <c r="J218" s="148">
        <v>0</v>
      </c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8">
        <f t="shared" si="3"/>
        <v>158.04952</v>
      </c>
      <c r="AV218" s="58"/>
    </row>
    <row r="219" spans="1:48" ht="13.5" customHeight="1">
      <c r="A219" s="84">
        <v>217</v>
      </c>
      <c r="B219" s="85">
        <v>391</v>
      </c>
      <c r="C219" s="85" t="s">
        <v>38</v>
      </c>
      <c r="D219" s="175">
        <v>-36</v>
      </c>
      <c r="F219" s="45">
        <v>400</v>
      </c>
      <c r="G219" s="45">
        <v>17.399999999999999</v>
      </c>
      <c r="H219" s="56">
        <v>-36</v>
      </c>
      <c r="I219" s="56">
        <v>-36</v>
      </c>
      <c r="J219" s="148">
        <v>0</v>
      </c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8">
        <f t="shared" si="3"/>
        <v>-36</v>
      </c>
      <c r="AV219" s="58"/>
    </row>
    <row r="220" spans="1:48" ht="13.5" customHeight="1">
      <c r="A220" s="84">
        <v>218</v>
      </c>
      <c r="B220" s="85">
        <v>392</v>
      </c>
      <c r="C220" s="85" t="s">
        <v>38</v>
      </c>
      <c r="D220" s="175">
        <v>-768.18000000000006</v>
      </c>
      <c r="H220" s="56"/>
      <c r="I220" s="56">
        <v>560</v>
      </c>
      <c r="J220" s="148">
        <v>1298.18</v>
      </c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>
        <v>30</v>
      </c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8">
        <f t="shared" si="3"/>
        <v>-768.18000000000006</v>
      </c>
      <c r="AV220" s="58"/>
    </row>
    <row r="221" spans="1:48" ht="13.5" customHeight="1">
      <c r="A221" s="82">
        <v>219</v>
      </c>
      <c r="B221" s="85">
        <v>394</v>
      </c>
      <c r="C221" s="85" t="s">
        <v>38</v>
      </c>
      <c r="D221" s="175">
        <v>490</v>
      </c>
      <c r="F221" s="45">
        <v>400</v>
      </c>
      <c r="G221" s="45">
        <v>226.30613999999997</v>
      </c>
      <c r="H221" s="56">
        <v>490</v>
      </c>
      <c r="I221" s="56">
        <v>490</v>
      </c>
      <c r="J221" s="148">
        <v>0</v>
      </c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8">
        <f t="shared" si="3"/>
        <v>490</v>
      </c>
      <c r="AV221" s="58"/>
    </row>
    <row r="222" spans="1:48" ht="13.5" customHeight="1">
      <c r="A222" s="84">
        <v>220</v>
      </c>
      <c r="B222" s="85">
        <v>395</v>
      </c>
      <c r="C222" s="85" t="s">
        <v>38</v>
      </c>
      <c r="D222" s="175">
        <v>-203.84734000000003</v>
      </c>
      <c r="F222" s="45">
        <v>180</v>
      </c>
      <c r="G222" s="45">
        <v>146.531925</v>
      </c>
      <c r="H222" s="56">
        <v>-61.847340000000031</v>
      </c>
      <c r="I222" s="56">
        <v>-61.847340000000031</v>
      </c>
      <c r="J222" s="148">
        <v>0</v>
      </c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>
        <v>120</v>
      </c>
      <c r="AD222" s="57">
        <v>22</v>
      </c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8">
        <f t="shared" si="3"/>
        <v>-203.84734000000003</v>
      </c>
      <c r="AV222" s="58"/>
    </row>
    <row r="223" spans="1:48" ht="13.5" customHeight="1">
      <c r="A223" s="82">
        <v>221</v>
      </c>
      <c r="B223" s="85">
        <v>396</v>
      </c>
      <c r="C223" s="85" t="s">
        <v>38</v>
      </c>
      <c r="D223" s="175">
        <v>-10.130830000000003</v>
      </c>
      <c r="F223" s="45">
        <v>560</v>
      </c>
      <c r="G223" s="45">
        <v>895.25008000000003</v>
      </c>
      <c r="H223" s="56">
        <v>59.869169999999997</v>
      </c>
      <c r="I223" s="56">
        <v>59.869169999999997</v>
      </c>
      <c r="J223" s="148">
        <v>0</v>
      </c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>
        <v>70</v>
      </c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8">
        <f t="shared" si="3"/>
        <v>-10.130830000000003</v>
      </c>
      <c r="AV223" s="58"/>
    </row>
    <row r="224" spans="1:48" ht="13.5" customHeight="1">
      <c r="A224" s="84">
        <v>222</v>
      </c>
      <c r="B224" s="85">
        <v>398</v>
      </c>
      <c r="C224" s="85" t="s">
        <v>38</v>
      </c>
      <c r="D224" s="175">
        <v>-58.013999999999925</v>
      </c>
      <c r="F224" s="45">
        <v>250</v>
      </c>
      <c r="G224" s="45">
        <v>215.870925</v>
      </c>
      <c r="H224" s="56">
        <v>-58.013999999999925</v>
      </c>
      <c r="I224" s="56">
        <v>-58.013999999999925</v>
      </c>
      <c r="J224" s="149">
        <v>0</v>
      </c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8">
        <f t="shared" si="3"/>
        <v>-58.013999999999925</v>
      </c>
      <c r="AV224" s="58"/>
    </row>
    <row r="225" spans="1:48" ht="13.5" customHeight="1">
      <c r="A225" s="84">
        <v>223</v>
      </c>
      <c r="B225" s="85">
        <v>402</v>
      </c>
      <c r="C225" s="85" t="s">
        <v>38</v>
      </c>
      <c r="D225" s="175">
        <v>298</v>
      </c>
      <c r="H225" s="56"/>
      <c r="I225" s="56">
        <v>320</v>
      </c>
      <c r="J225" s="148"/>
      <c r="K225" s="57"/>
      <c r="L225" s="57"/>
      <c r="M225" s="57"/>
      <c r="N225" s="57"/>
      <c r="O225" s="57"/>
      <c r="P225" s="57"/>
      <c r="Q225" s="57"/>
      <c r="R225" s="57"/>
      <c r="S225" s="57"/>
      <c r="T225" s="57">
        <v>22</v>
      </c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8">
        <f t="shared" si="3"/>
        <v>298</v>
      </c>
      <c r="AV225" s="58"/>
    </row>
    <row r="226" spans="1:48" ht="13.5" customHeight="1">
      <c r="A226" s="82">
        <v>224</v>
      </c>
      <c r="B226" s="85">
        <v>403</v>
      </c>
      <c r="C226" s="85" t="s">
        <v>38</v>
      </c>
      <c r="D226" s="175">
        <v>19.993717500000002</v>
      </c>
      <c r="F226" s="45">
        <v>630</v>
      </c>
      <c r="G226" s="45">
        <v>480.67500000000001</v>
      </c>
      <c r="H226" s="56">
        <v>19.993717500000002</v>
      </c>
      <c r="I226" s="56">
        <v>19.993717500000002</v>
      </c>
      <c r="J226" s="148">
        <v>0</v>
      </c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8">
        <f t="shared" si="3"/>
        <v>19.993717500000002</v>
      </c>
      <c r="AV226" s="58"/>
    </row>
    <row r="227" spans="1:48" ht="13.5" customHeight="1">
      <c r="A227" s="84">
        <v>225</v>
      </c>
      <c r="B227" s="85">
        <v>405</v>
      </c>
      <c r="C227" s="85" t="s">
        <v>38</v>
      </c>
      <c r="D227" s="175">
        <v>-10.273699999999963</v>
      </c>
      <c r="F227" s="45">
        <v>1400</v>
      </c>
      <c r="G227" s="45">
        <v>874.16</v>
      </c>
      <c r="H227" s="56">
        <v>29.726300000000037</v>
      </c>
      <c r="I227" s="56">
        <v>29.726300000000037</v>
      </c>
      <c r="J227" s="148">
        <v>0</v>
      </c>
      <c r="K227" s="57"/>
      <c r="L227" s="57"/>
      <c r="M227" s="57"/>
      <c r="N227" s="57"/>
      <c r="O227" s="57"/>
      <c r="P227" s="57"/>
      <c r="Q227" s="57"/>
      <c r="R227" s="57">
        <v>40</v>
      </c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8">
        <f t="shared" si="3"/>
        <v>-10.273699999999963</v>
      </c>
      <c r="AV227" s="58"/>
    </row>
    <row r="228" spans="1:48" ht="13.5" customHeight="1">
      <c r="A228" s="82">
        <v>226</v>
      </c>
      <c r="B228" s="85">
        <v>406</v>
      </c>
      <c r="C228" s="85" t="s">
        <v>38</v>
      </c>
      <c r="D228" s="175">
        <v>-83.272442500000011</v>
      </c>
      <c r="F228" s="45">
        <v>560</v>
      </c>
      <c r="G228" s="45">
        <v>404.28551999999991</v>
      </c>
      <c r="H228" s="56">
        <v>66.727557499999989</v>
      </c>
      <c r="I228" s="56">
        <v>66.727557499999989</v>
      </c>
      <c r="J228" s="148">
        <v>0</v>
      </c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>
        <v>150</v>
      </c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8">
        <f t="shared" si="3"/>
        <v>-83.272442500000011</v>
      </c>
      <c r="AV228" s="58"/>
    </row>
    <row r="229" spans="1:48" ht="13.5" customHeight="1">
      <c r="A229" s="82">
        <v>227</v>
      </c>
      <c r="B229" s="85">
        <v>407</v>
      </c>
      <c r="C229" s="85" t="s">
        <v>38</v>
      </c>
      <c r="D229" s="175">
        <v>-366</v>
      </c>
      <c r="H229" s="56"/>
      <c r="I229" s="56">
        <v>224</v>
      </c>
      <c r="J229" s="148">
        <v>490</v>
      </c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>
        <v>100</v>
      </c>
      <c r="AT229" s="57"/>
      <c r="AU229" s="58">
        <f t="shared" si="3"/>
        <v>-366</v>
      </c>
      <c r="AV229" s="58"/>
    </row>
    <row r="230" spans="1:48" ht="13.5" customHeight="1">
      <c r="A230" s="84">
        <v>228</v>
      </c>
      <c r="B230" s="85">
        <v>409</v>
      </c>
      <c r="C230" s="85" t="s">
        <v>38</v>
      </c>
      <c r="D230" s="175">
        <v>-42.1952</v>
      </c>
      <c r="F230" s="45">
        <v>400</v>
      </c>
      <c r="G230" s="45">
        <v>269.10631199999995</v>
      </c>
      <c r="H230" s="56">
        <v>-42.1952</v>
      </c>
      <c r="I230" s="56">
        <v>-42.1952</v>
      </c>
      <c r="J230" s="148">
        <v>0</v>
      </c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8">
        <f t="shared" si="3"/>
        <v>-42.1952</v>
      </c>
      <c r="AV230" s="58"/>
    </row>
    <row r="231" spans="1:48" ht="13.5" customHeight="1">
      <c r="A231" s="84">
        <v>229</v>
      </c>
      <c r="B231" s="85">
        <v>410</v>
      </c>
      <c r="C231" s="85" t="s">
        <v>38</v>
      </c>
      <c r="D231" s="175">
        <v>240.719075</v>
      </c>
      <c r="F231" s="45">
        <v>560</v>
      </c>
      <c r="G231" s="45">
        <v>584.59820000000002</v>
      </c>
      <c r="H231" s="56">
        <v>240.719075</v>
      </c>
      <c r="I231" s="56">
        <v>240.719075</v>
      </c>
      <c r="J231" s="148">
        <v>0</v>
      </c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8">
        <f t="shared" si="3"/>
        <v>240.719075</v>
      </c>
      <c r="AV231" s="58"/>
    </row>
    <row r="232" spans="1:48" ht="13.5" customHeight="1">
      <c r="A232" s="82">
        <v>230</v>
      </c>
      <c r="B232" s="85">
        <v>411</v>
      </c>
      <c r="C232" s="85" t="s">
        <v>38</v>
      </c>
      <c r="D232" s="175">
        <v>205.32999999999998</v>
      </c>
      <c r="F232" s="45">
        <v>200</v>
      </c>
      <c r="G232" s="45">
        <v>57.589649999999992</v>
      </c>
      <c r="H232" s="56">
        <v>246.32999999999998</v>
      </c>
      <c r="I232" s="56">
        <v>246.32999999999998</v>
      </c>
      <c r="J232" s="148">
        <v>0</v>
      </c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>
        <v>16</v>
      </c>
      <c r="AD232" s="57"/>
      <c r="AE232" s="57"/>
      <c r="AF232" s="57"/>
      <c r="AG232" s="57"/>
      <c r="AH232" s="57"/>
      <c r="AI232" s="57"/>
      <c r="AJ232" s="57"/>
      <c r="AK232" s="57">
        <v>25</v>
      </c>
      <c r="AL232" s="57"/>
      <c r="AM232" s="57"/>
      <c r="AN232" s="57"/>
      <c r="AO232" s="57"/>
      <c r="AP232" s="57"/>
      <c r="AQ232" s="57"/>
      <c r="AR232" s="57"/>
      <c r="AS232" s="57"/>
      <c r="AT232" s="57"/>
      <c r="AU232" s="58">
        <f t="shared" si="3"/>
        <v>205.32999999999998</v>
      </c>
      <c r="AV232" s="58"/>
    </row>
    <row r="233" spans="1:48" ht="13.5" customHeight="1">
      <c r="A233" s="84">
        <v>231</v>
      </c>
      <c r="B233" s="85">
        <v>412</v>
      </c>
      <c r="C233" s="85" t="s">
        <v>38</v>
      </c>
      <c r="D233" s="175">
        <v>-79.908600000000007</v>
      </c>
      <c r="F233" s="45">
        <v>160</v>
      </c>
      <c r="G233" s="45">
        <v>26.1</v>
      </c>
      <c r="H233" s="56">
        <v>50.091399999999993</v>
      </c>
      <c r="I233" s="56">
        <v>50.091399999999993</v>
      </c>
      <c r="J233" s="148">
        <v>0</v>
      </c>
      <c r="K233" s="57"/>
      <c r="L233" s="57"/>
      <c r="M233" s="57"/>
      <c r="N233" s="57">
        <v>130</v>
      </c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8">
        <f t="shared" si="3"/>
        <v>-79.908600000000007</v>
      </c>
      <c r="AV233" s="58"/>
    </row>
    <row r="234" spans="1:48" ht="13.5" customHeight="1">
      <c r="A234" s="82">
        <v>232</v>
      </c>
      <c r="B234" s="85">
        <v>413</v>
      </c>
      <c r="C234" s="85" t="s">
        <v>38</v>
      </c>
      <c r="D234" s="175">
        <v>36.843335000000025</v>
      </c>
      <c r="F234" s="45">
        <v>630</v>
      </c>
      <c r="G234" s="45">
        <v>413.64976499999995</v>
      </c>
      <c r="H234" s="56">
        <v>36.843335000000025</v>
      </c>
      <c r="I234" s="56">
        <v>36.843335000000025</v>
      </c>
      <c r="J234" s="148">
        <v>0</v>
      </c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8">
        <f t="shared" si="3"/>
        <v>36.843335000000025</v>
      </c>
      <c r="AV234" s="58"/>
    </row>
    <row r="235" spans="1:48" ht="13.5" customHeight="1">
      <c r="A235" s="84">
        <v>233</v>
      </c>
      <c r="B235" s="85">
        <v>416</v>
      </c>
      <c r="C235" s="85" t="s">
        <v>38</v>
      </c>
      <c r="D235" s="175">
        <v>-7.1623000000000161</v>
      </c>
      <c r="F235" s="45">
        <v>250</v>
      </c>
      <c r="G235" s="45">
        <v>186.87599999999995</v>
      </c>
      <c r="H235" s="56">
        <v>57.837699999999984</v>
      </c>
      <c r="I235" s="56">
        <v>57.837699999999984</v>
      </c>
      <c r="J235" s="148">
        <v>0</v>
      </c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>
        <v>35</v>
      </c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>
        <v>30</v>
      </c>
      <c r="AU235" s="58">
        <f t="shared" si="3"/>
        <v>-7.1623000000000161</v>
      </c>
      <c r="AV235" s="58"/>
    </row>
    <row r="236" spans="1:48" ht="13.5" customHeight="1">
      <c r="A236" s="84">
        <v>234</v>
      </c>
      <c r="B236" s="85">
        <v>417</v>
      </c>
      <c r="C236" s="85" t="s">
        <v>38</v>
      </c>
      <c r="D236" s="175">
        <v>69.425999999999931</v>
      </c>
      <c r="F236" s="45">
        <v>400</v>
      </c>
      <c r="G236" s="45">
        <v>178.06268249999999</v>
      </c>
      <c r="H236" s="56">
        <v>69.425999999999931</v>
      </c>
      <c r="I236" s="56">
        <v>169.42599999999993</v>
      </c>
      <c r="J236" s="148">
        <v>100</v>
      </c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8">
        <f t="shared" si="3"/>
        <v>69.425999999999931</v>
      </c>
      <c r="AV236" s="58"/>
    </row>
    <row r="237" spans="1:48" ht="13.5" customHeight="1">
      <c r="A237" s="82">
        <v>235</v>
      </c>
      <c r="B237" s="85">
        <v>425</v>
      </c>
      <c r="C237" s="85" t="s">
        <v>38</v>
      </c>
      <c r="D237" s="175">
        <v>-2.3587000000000558</v>
      </c>
      <c r="F237" s="45">
        <v>320</v>
      </c>
      <c r="G237" s="45">
        <v>220.73640000000006</v>
      </c>
      <c r="H237" s="56">
        <v>-2.3587000000000558</v>
      </c>
      <c r="I237" s="56">
        <v>-2.3587000000000558</v>
      </c>
      <c r="J237" s="148">
        <v>0</v>
      </c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8">
        <f t="shared" si="3"/>
        <v>-2.3587000000000558</v>
      </c>
      <c r="AV237" s="58"/>
    </row>
    <row r="238" spans="1:48" ht="13.5" customHeight="1">
      <c r="A238" s="84">
        <v>236</v>
      </c>
      <c r="B238" s="85">
        <v>431</v>
      </c>
      <c r="C238" s="85" t="s">
        <v>38</v>
      </c>
      <c r="D238" s="175">
        <v>-103.25199908799993</v>
      </c>
      <c r="F238" s="45">
        <v>882</v>
      </c>
      <c r="G238" s="45">
        <v>486.83285999999998</v>
      </c>
      <c r="H238" s="56">
        <v>-103.25199908799993</v>
      </c>
      <c r="I238" s="56">
        <v>-103.25199908799993</v>
      </c>
      <c r="J238" s="148">
        <v>0</v>
      </c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8">
        <f t="shared" si="3"/>
        <v>-103.25199908799993</v>
      </c>
      <c r="AV238" s="58"/>
    </row>
    <row r="239" spans="1:48" ht="13.5" customHeight="1">
      <c r="A239" s="82">
        <v>237</v>
      </c>
      <c r="B239" s="85">
        <v>432</v>
      </c>
      <c r="C239" s="85" t="s">
        <v>38</v>
      </c>
      <c r="D239" s="175">
        <v>-120</v>
      </c>
      <c r="H239" s="56"/>
      <c r="I239" s="56">
        <v>320</v>
      </c>
      <c r="J239" s="148">
        <v>440</v>
      </c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>
        <v>0</v>
      </c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8">
        <f t="shared" si="3"/>
        <v>-120</v>
      </c>
      <c r="AV239" s="58"/>
    </row>
    <row r="240" spans="1:48" ht="13.5" customHeight="1">
      <c r="A240" s="84">
        <v>238</v>
      </c>
      <c r="B240" s="85">
        <v>437</v>
      </c>
      <c r="C240" s="85" t="s">
        <v>38</v>
      </c>
      <c r="D240" s="175">
        <v>32.5</v>
      </c>
      <c r="F240" s="45">
        <v>400</v>
      </c>
      <c r="G240" s="45">
        <v>195.84970200000001</v>
      </c>
      <c r="H240" s="56">
        <v>32.5</v>
      </c>
      <c r="I240" s="56">
        <v>32.5</v>
      </c>
      <c r="J240" s="148">
        <v>0</v>
      </c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8">
        <f t="shared" si="3"/>
        <v>32.5</v>
      </c>
      <c r="AV240" s="58"/>
    </row>
    <row r="241" spans="1:48" ht="13.5" customHeight="1">
      <c r="A241" s="84">
        <v>239</v>
      </c>
      <c r="B241" s="85">
        <v>441</v>
      </c>
      <c r="C241" s="85" t="s">
        <v>38</v>
      </c>
      <c r="D241" s="175">
        <v>54.888785000000013</v>
      </c>
      <c r="F241" s="45">
        <v>200</v>
      </c>
      <c r="G241" s="45">
        <v>128.0814</v>
      </c>
      <c r="H241" s="56">
        <v>54.888785000000013</v>
      </c>
      <c r="I241" s="56">
        <v>54.888785000000013</v>
      </c>
      <c r="J241" s="148">
        <v>0</v>
      </c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8">
        <f t="shared" si="3"/>
        <v>54.888785000000013</v>
      </c>
      <c r="AV241" s="58"/>
    </row>
    <row r="242" spans="1:48" ht="13.5" customHeight="1">
      <c r="A242" s="82">
        <v>240</v>
      </c>
      <c r="B242" s="85">
        <v>442</v>
      </c>
      <c r="C242" s="85" t="s">
        <v>38</v>
      </c>
      <c r="D242" s="175">
        <v>82.775374999999997</v>
      </c>
      <c r="F242" s="45">
        <v>400</v>
      </c>
      <c r="G242" s="45">
        <v>304.5</v>
      </c>
      <c r="H242" s="56">
        <v>102.775375</v>
      </c>
      <c r="I242" s="56">
        <v>102.775375</v>
      </c>
      <c r="J242" s="148">
        <v>0</v>
      </c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>
        <v>20</v>
      </c>
      <c r="AQ242" s="57"/>
      <c r="AR242" s="57"/>
      <c r="AS242" s="57"/>
      <c r="AT242" s="57"/>
      <c r="AU242" s="58">
        <f t="shared" si="3"/>
        <v>82.775374999999997</v>
      </c>
      <c r="AV242" s="58"/>
    </row>
    <row r="243" spans="1:48" ht="13.5" customHeight="1">
      <c r="A243" s="84">
        <v>241</v>
      </c>
      <c r="B243" s="85">
        <v>445</v>
      </c>
      <c r="C243" s="85" t="s">
        <v>38</v>
      </c>
      <c r="D243" s="175">
        <v>-25.745000000000005</v>
      </c>
      <c r="F243" s="45">
        <v>630</v>
      </c>
      <c r="G243" s="45">
        <v>244.56659500000001</v>
      </c>
      <c r="H243" s="56">
        <v>14.254999999999995</v>
      </c>
      <c r="I243" s="56">
        <v>14.254999999999995</v>
      </c>
      <c r="J243" s="148">
        <v>0</v>
      </c>
      <c r="K243" s="57"/>
      <c r="L243" s="57"/>
      <c r="M243" s="57">
        <v>40</v>
      </c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8">
        <f t="shared" si="3"/>
        <v>-25.745000000000005</v>
      </c>
      <c r="AV243" s="58"/>
    </row>
    <row r="244" spans="1:48" ht="13.5" customHeight="1">
      <c r="A244" s="82">
        <v>242</v>
      </c>
      <c r="B244" s="85">
        <v>447</v>
      </c>
      <c r="C244" s="85" t="s">
        <v>38</v>
      </c>
      <c r="D244" s="175">
        <v>-332.39</v>
      </c>
      <c r="H244" s="56"/>
      <c r="I244" s="56">
        <v>560</v>
      </c>
      <c r="J244" s="148">
        <v>812.39</v>
      </c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>
        <v>80</v>
      </c>
      <c r="AS244" s="57"/>
      <c r="AT244" s="57"/>
      <c r="AU244" s="58">
        <f t="shared" si="3"/>
        <v>-332.39</v>
      </c>
      <c r="AV244" s="58"/>
    </row>
    <row r="245" spans="1:48" ht="13.5" customHeight="1">
      <c r="A245" s="84">
        <v>243</v>
      </c>
      <c r="B245" s="85">
        <v>450</v>
      </c>
      <c r="C245" s="85" t="s">
        <v>38</v>
      </c>
      <c r="D245" s="175">
        <v>-110.22809999999998</v>
      </c>
      <c r="F245" s="45">
        <v>250</v>
      </c>
      <c r="G245" s="45">
        <v>166.17</v>
      </c>
      <c r="H245" s="56">
        <v>-30.228099999999984</v>
      </c>
      <c r="I245" s="56">
        <v>-30.228099999999984</v>
      </c>
      <c r="J245" s="148">
        <v>0</v>
      </c>
      <c r="K245" s="57"/>
      <c r="L245" s="57"/>
      <c r="M245" s="57"/>
      <c r="N245" s="57"/>
      <c r="O245" s="57">
        <v>80</v>
      </c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8">
        <f t="shared" si="3"/>
        <v>-110.22809999999998</v>
      </c>
      <c r="AV245" s="58"/>
    </row>
    <row r="246" spans="1:48" ht="13.5" customHeight="1">
      <c r="A246" s="84">
        <v>244</v>
      </c>
      <c r="B246" s="85">
        <v>451</v>
      </c>
      <c r="C246" s="85" t="s">
        <v>38</v>
      </c>
      <c r="D246" s="175">
        <v>-643.22</v>
      </c>
      <c r="H246" s="56"/>
      <c r="I246" s="56">
        <v>350</v>
      </c>
      <c r="J246" s="148">
        <v>963.22</v>
      </c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>
        <v>30</v>
      </c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8">
        <f t="shared" si="3"/>
        <v>-643.22</v>
      </c>
      <c r="AV246" s="58"/>
    </row>
    <row r="247" spans="1:48" ht="13.5" customHeight="1">
      <c r="A247" s="82">
        <v>245</v>
      </c>
      <c r="B247" s="85">
        <v>456</v>
      </c>
      <c r="C247" s="85" t="s">
        <v>38</v>
      </c>
      <c r="D247" s="175">
        <v>-342.5</v>
      </c>
      <c r="H247" s="56"/>
      <c r="I247" s="56">
        <v>200</v>
      </c>
      <c r="J247" s="148">
        <v>392.5</v>
      </c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>
        <v>150</v>
      </c>
      <c r="AM247" s="57"/>
      <c r="AN247" s="57"/>
      <c r="AO247" s="57"/>
      <c r="AP247" s="57"/>
      <c r="AQ247" s="57"/>
      <c r="AR247" s="57"/>
      <c r="AS247" s="57"/>
      <c r="AT247" s="57"/>
      <c r="AU247" s="58">
        <f t="shared" si="3"/>
        <v>-342.5</v>
      </c>
      <c r="AV247" s="58"/>
    </row>
    <row r="248" spans="1:48" ht="13.5" customHeight="1">
      <c r="A248" s="84">
        <v>246</v>
      </c>
      <c r="B248" s="85">
        <v>463</v>
      </c>
      <c r="C248" s="85" t="s">
        <v>38</v>
      </c>
      <c r="D248" s="175">
        <v>28.506500000000017</v>
      </c>
      <c r="F248" s="45">
        <v>350</v>
      </c>
      <c r="G248" s="45">
        <v>309.11099999999999</v>
      </c>
      <c r="H248" s="56">
        <v>28.506500000000017</v>
      </c>
      <c r="I248" s="56">
        <v>28.506500000000017</v>
      </c>
      <c r="J248" s="148">
        <v>0</v>
      </c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8">
        <f t="shared" si="3"/>
        <v>28.506500000000017</v>
      </c>
      <c r="AV248" s="58"/>
    </row>
    <row r="249" spans="1:48" ht="13.5" customHeight="1">
      <c r="A249" s="82">
        <v>247</v>
      </c>
      <c r="B249" s="85">
        <v>467</v>
      </c>
      <c r="C249" s="85" t="s">
        <v>38</v>
      </c>
      <c r="D249" s="175">
        <v>-792.24849999999992</v>
      </c>
      <c r="F249" s="45">
        <v>630</v>
      </c>
      <c r="G249" s="45">
        <v>415.11005999999998</v>
      </c>
      <c r="H249" s="56">
        <v>-111.24849999999992</v>
      </c>
      <c r="I249" s="56">
        <v>-111.24849999999992</v>
      </c>
      <c r="J249" s="148">
        <v>0</v>
      </c>
      <c r="K249" s="57"/>
      <c r="L249" s="57"/>
      <c r="M249" s="57"/>
      <c r="N249" s="57"/>
      <c r="O249" s="57">
        <v>21</v>
      </c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>
        <v>75</v>
      </c>
      <c r="AC249" s="57"/>
      <c r="AD249" s="57"/>
      <c r="AE249" s="57"/>
      <c r="AF249" s="57"/>
      <c r="AG249" s="57"/>
      <c r="AH249" s="57"/>
      <c r="AI249" s="57"/>
      <c r="AJ249" s="57"/>
      <c r="AK249" s="57"/>
      <c r="AL249" s="57">
        <v>485</v>
      </c>
      <c r="AM249" s="57"/>
      <c r="AN249" s="57"/>
      <c r="AO249" s="57"/>
      <c r="AP249" s="57"/>
      <c r="AQ249" s="57"/>
      <c r="AR249" s="57"/>
      <c r="AS249" s="57">
        <v>100</v>
      </c>
      <c r="AT249" s="57"/>
      <c r="AU249" s="58">
        <f t="shared" si="3"/>
        <v>-792.24849999999992</v>
      </c>
      <c r="AV249" s="58"/>
    </row>
    <row r="250" spans="1:48" ht="13.5" customHeight="1">
      <c r="A250" s="84">
        <v>248</v>
      </c>
      <c r="B250" s="85">
        <v>470</v>
      </c>
      <c r="C250" s="85" t="s">
        <v>38</v>
      </c>
      <c r="D250" s="175">
        <v>-20.800000000000011</v>
      </c>
      <c r="F250" s="45">
        <v>250</v>
      </c>
      <c r="G250" s="45">
        <v>195.75</v>
      </c>
      <c r="H250" s="56">
        <v>99.199999999999989</v>
      </c>
      <c r="I250" s="56">
        <v>99.199999999999989</v>
      </c>
      <c r="J250" s="148">
        <v>0</v>
      </c>
      <c r="K250" s="57"/>
      <c r="L250" s="57"/>
      <c r="M250" s="57"/>
      <c r="N250" s="57">
        <v>40</v>
      </c>
      <c r="O250" s="57"/>
      <c r="P250" s="57"/>
      <c r="Q250" s="57"/>
      <c r="R250" s="57">
        <v>80</v>
      </c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8">
        <f t="shared" si="3"/>
        <v>-20.800000000000011</v>
      </c>
      <c r="AV250" s="58"/>
    </row>
    <row r="251" spans="1:48" ht="13.5" customHeight="1">
      <c r="A251" s="84">
        <v>249</v>
      </c>
      <c r="B251" s="85">
        <v>471</v>
      </c>
      <c r="C251" s="85" t="s">
        <v>38</v>
      </c>
      <c r="D251" s="175">
        <v>7.0999999999999943</v>
      </c>
      <c r="F251" s="45">
        <v>630</v>
      </c>
      <c r="G251" s="45">
        <v>75.459999999999994</v>
      </c>
      <c r="H251" s="56">
        <v>7.0999999999999943</v>
      </c>
      <c r="I251" s="56">
        <v>7.0999999999999943</v>
      </c>
      <c r="J251" s="148">
        <v>0</v>
      </c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8">
        <f t="shared" si="3"/>
        <v>7.0999999999999943</v>
      </c>
      <c r="AV251" s="58"/>
    </row>
    <row r="252" spans="1:48" ht="13.5" customHeight="1">
      <c r="A252" s="82">
        <v>250</v>
      </c>
      <c r="B252" s="85">
        <v>472</v>
      </c>
      <c r="C252" s="85" t="s">
        <v>38</v>
      </c>
      <c r="D252" s="175">
        <v>23.099999999999994</v>
      </c>
      <c r="F252" s="45">
        <v>448</v>
      </c>
      <c r="G252" s="45">
        <v>233.03820000000002</v>
      </c>
      <c r="H252" s="56">
        <v>23.099999999999994</v>
      </c>
      <c r="I252" s="56">
        <v>23.099999999999994</v>
      </c>
      <c r="J252" s="148">
        <v>0</v>
      </c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8">
        <f t="shared" si="3"/>
        <v>23.099999999999994</v>
      </c>
      <c r="AV252" s="58"/>
    </row>
    <row r="253" spans="1:48" ht="13.5" customHeight="1">
      <c r="A253" s="84">
        <v>251</v>
      </c>
      <c r="B253" s="85">
        <v>473</v>
      </c>
      <c r="C253" s="85" t="s">
        <v>38</v>
      </c>
      <c r="D253" s="175">
        <v>39.699999999999989</v>
      </c>
      <c r="F253" s="45">
        <v>882</v>
      </c>
      <c r="G253" s="45">
        <v>918.20839999999998</v>
      </c>
      <c r="H253" s="56">
        <v>67.699999999999989</v>
      </c>
      <c r="I253" s="56">
        <v>67.699999999999989</v>
      </c>
      <c r="J253" s="148">
        <v>0</v>
      </c>
      <c r="K253" s="57"/>
      <c r="L253" s="57"/>
      <c r="M253" s="57"/>
      <c r="N253" s="57"/>
      <c r="O253" s="57"/>
      <c r="P253" s="57">
        <v>28</v>
      </c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8">
        <f t="shared" si="3"/>
        <v>39.699999999999989</v>
      </c>
      <c r="AV253" s="58"/>
    </row>
    <row r="254" spans="1:48" ht="13.5" customHeight="1">
      <c r="A254" s="82">
        <v>252</v>
      </c>
      <c r="B254" s="85">
        <v>474</v>
      </c>
      <c r="C254" s="85" t="s">
        <v>38</v>
      </c>
      <c r="D254" s="175">
        <v>-232.72</v>
      </c>
      <c r="F254" s="45">
        <v>560</v>
      </c>
      <c r="G254" s="45">
        <v>589.86869999999999</v>
      </c>
      <c r="H254" s="56">
        <v>97.28</v>
      </c>
      <c r="I254" s="56">
        <v>97.28</v>
      </c>
      <c r="J254" s="148">
        <v>0</v>
      </c>
      <c r="K254" s="57"/>
      <c r="L254" s="57"/>
      <c r="M254" s="57"/>
      <c r="N254" s="57">
        <v>330</v>
      </c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8">
        <f t="shared" si="3"/>
        <v>-232.72</v>
      </c>
      <c r="AV254" s="58"/>
    </row>
    <row r="255" spans="1:48" ht="13.5" customHeight="1">
      <c r="A255" s="84">
        <v>253</v>
      </c>
      <c r="B255" s="85">
        <v>475</v>
      </c>
      <c r="C255" s="85" t="s">
        <v>38</v>
      </c>
      <c r="D255" s="175">
        <v>-12.899999999999977</v>
      </c>
      <c r="F255" s="45">
        <v>882</v>
      </c>
      <c r="G255" s="45">
        <v>294</v>
      </c>
      <c r="H255" s="56">
        <v>121.60000000000002</v>
      </c>
      <c r="I255" s="56">
        <v>121.60000000000002</v>
      </c>
      <c r="J255" s="148">
        <v>0</v>
      </c>
      <c r="K255" s="57"/>
      <c r="L255" s="57"/>
      <c r="M255" s="57">
        <v>84.5</v>
      </c>
      <c r="N255" s="57"/>
      <c r="O255" s="57"/>
      <c r="P255" s="57"/>
      <c r="Q255" s="57">
        <v>50</v>
      </c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  <c r="AU255" s="58">
        <f t="shared" si="3"/>
        <v>-12.899999999999977</v>
      </c>
      <c r="AV255" s="58"/>
    </row>
    <row r="256" spans="1:48" ht="13.5" customHeight="1">
      <c r="A256" s="84">
        <v>254</v>
      </c>
      <c r="B256" s="85">
        <v>476</v>
      </c>
      <c r="C256" s="85" t="s">
        <v>38</v>
      </c>
      <c r="D256" s="175">
        <v>-33</v>
      </c>
      <c r="F256" s="45">
        <v>400</v>
      </c>
      <c r="G256" s="45">
        <v>124.31429999999999</v>
      </c>
      <c r="H256" s="56">
        <v>-33</v>
      </c>
      <c r="I256" s="56">
        <v>-33</v>
      </c>
      <c r="J256" s="148">
        <v>0</v>
      </c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8">
        <f t="shared" si="3"/>
        <v>-33</v>
      </c>
      <c r="AV256" s="58"/>
    </row>
    <row r="257" spans="1:48" ht="13.5" customHeight="1">
      <c r="A257" s="82">
        <v>255</v>
      </c>
      <c r="B257" s="85">
        <v>477</v>
      </c>
      <c r="C257" s="85" t="s">
        <v>38</v>
      </c>
      <c r="D257" s="175">
        <v>86.600000000000023</v>
      </c>
      <c r="F257" s="45">
        <v>882</v>
      </c>
      <c r="G257" s="45">
        <v>475.30000000000013</v>
      </c>
      <c r="H257" s="56">
        <v>121.60000000000002</v>
      </c>
      <c r="I257" s="56">
        <v>121.60000000000002</v>
      </c>
      <c r="J257" s="148">
        <v>0</v>
      </c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>
        <v>35</v>
      </c>
      <c r="AU257" s="58">
        <f t="shared" si="3"/>
        <v>86.600000000000023</v>
      </c>
      <c r="AV257" s="58"/>
    </row>
    <row r="258" spans="1:48" ht="13.5" customHeight="1">
      <c r="A258" s="84">
        <v>256</v>
      </c>
      <c r="B258" s="85">
        <v>480</v>
      </c>
      <c r="C258" s="85" t="s">
        <v>38</v>
      </c>
      <c r="D258" s="175">
        <v>-28.726361999999995</v>
      </c>
      <c r="F258" s="45">
        <v>400</v>
      </c>
      <c r="G258" s="45">
        <v>120.1122</v>
      </c>
      <c r="H258" s="56">
        <v>-28.726361999999995</v>
      </c>
      <c r="I258" s="56">
        <v>-28.726361999999995</v>
      </c>
      <c r="J258" s="148">
        <v>0</v>
      </c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8">
        <f t="shared" si="3"/>
        <v>-28.726361999999995</v>
      </c>
      <c r="AV258" s="58"/>
    </row>
    <row r="259" spans="1:48" ht="13.5" customHeight="1">
      <c r="A259" s="82">
        <v>257</v>
      </c>
      <c r="B259" s="85">
        <v>483</v>
      </c>
      <c r="C259" s="85" t="s">
        <v>38</v>
      </c>
      <c r="D259" s="175">
        <v>-420.37</v>
      </c>
      <c r="F259" s="45">
        <v>100</v>
      </c>
      <c r="G259" s="45">
        <v>8.1867000000000001</v>
      </c>
      <c r="H259" s="56">
        <v>-390.37</v>
      </c>
      <c r="I259" s="56">
        <v>-291.37</v>
      </c>
      <c r="J259" s="148">
        <v>99</v>
      </c>
      <c r="K259" s="57"/>
      <c r="L259" s="57"/>
      <c r="M259" s="57"/>
      <c r="N259" s="57"/>
      <c r="O259" s="57"/>
      <c r="P259" s="57">
        <v>30</v>
      </c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8">
        <f t="shared" si="3"/>
        <v>-420.37</v>
      </c>
      <c r="AV259" s="58"/>
    </row>
    <row r="260" spans="1:48" ht="13.5" customHeight="1">
      <c r="A260" s="84">
        <v>258</v>
      </c>
      <c r="B260" s="85">
        <v>485</v>
      </c>
      <c r="C260" s="85" t="s">
        <v>38</v>
      </c>
      <c r="D260" s="175">
        <v>135.8724575</v>
      </c>
      <c r="F260" s="45">
        <v>560</v>
      </c>
      <c r="G260" s="45">
        <v>420.69807000000003</v>
      </c>
      <c r="H260" s="56">
        <v>166.3724575</v>
      </c>
      <c r="I260" s="56">
        <v>166.3724575</v>
      </c>
      <c r="J260" s="148">
        <v>0</v>
      </c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>
        <v>30.5</v>
      </c>
      <c r="AR260" s="57"/>
      <c r="AS260" s="57"/>
      <c r="AT260" s="57"/>
      <c r="AU260" s="58">
        <f t="shared" ref="AU260:AU323" si="4">I260-J260-K260-L260-M260-N260-O260-P260-Q260-R260-S260-T260-U260-V260-W260-X260-Y260-Z260-AA260-AB260-AC260-AD260-AE260-AF260-AG260-AH260-AI260-AJ260-AK260-AL260-AM260-AN260-AO260-AP260-AQ260-AR260-AS260-AT260</f>
        <v>135.8724575</v>
      </c>
      <c r="AV260" s="58"/>
    </row>
    <row r="261" spans="1:48" ht="13.5" customHeight="1">
      <c r="A261" s="84">
        <v>259</v>
      </c>
      <c r="B261" s="85">
        <v>489</v>
      </c>
      <c r="C261" s="85" t="s">
        <v>38</v>
      </c>
      <c r="D261" s="175">
        <v>112.53999999999999</v>
      </c>
      <c r="F261" s="45">
        <v>251.99999999999997</v>
      </c>
      <c r="G261" s="45">
        <v>320.14499999999998</v>
      </c>
      <c r="H261" s="56">
        <v>112.53999999999999</v>
      </c>
      <c r="I261" s="56">
        <v>112.53999999999999</v>
      </c>
      <c r="J261" s="148">
        <v>0</v>
      </c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8">
        <f t="shared" si="4"/>
        <v>112.53999999999999</v>
      </c>
      <c r="AV261" s="58"/>
    </row>
    <row r="262" spans="1:48" ht="13.5" customHeight="1">
      <c r="A262" s="82">
        <v>260</v>
      </c>
      <c r="B262" s="85">
        <v>491</v>
      </c>
      <c r="C262" s="85" t="s">
        <v>38</v>
      </c>
      <c r="D262" s="175">
        <v>-35</v>
      </c>
      <c r="F262" s="45">
        <v>400</v>
      </c>
      <c r="G262" s="45">
        <v>244.74318000000002</v>
      </c>
      <c r="H262" s="56">
        <v>-35</v>
      </c>
      <c r="I262" s="56">
        <v>-35</v>
      </c>
      <c r="J262" s="148">
        <v>0</v>
      </c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8">
        <f t="shared" si="4"/>
        <v>-35</v>
      </c>
      <c r="AV262" s="58"/>
    </row>
    <row r="263" spans="1:48" ht="13.5" customHeight="1">
      <c r="A263" s="84">
        <v>261</v>
      </c>
      <c r="B263" s="85">
        <v>493</v>
      </c>
      <c r="C263" s="85" t="s">
        <v>38</v>
      </c>
      <c r="D263" s="175">
        <v>-87.25</v>
      </c>
      <c r="F263" s="45">
        <v>630</v>
      </c>
      <c r="G263" s="45">
        <v>412.29300000000001</v>
      </c>
      <c r="H263" s="56">
        <v>27.75</v>
      </c>
      <c r="I263" s="56">
        <v>27.75</v>
      </c>
      <c r="J263" s="148">
        <v>0</v>
      </c>
      <c r="K263" s="57"/>
      <c r="L263" s="57"/>
      <c r="M263" s="57">
        <v>80</v>
      </c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>
        <v>35</v>
      </c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8">
        <f t="shared" si="4"/>
        <v>-87.25</v>
      </c>
      <c r="AV263" s="58"/>
    </row>
    <row r="264" spans="1:48" ht="13.5" customHeight="1">
      <c r="A264" s="82">
        <v>262</v>
      </c>
      <c r="B264" s="85">
        <v>497</v>
      </c>
      <c r="C264" s="85" t="s">
        <v>38</v>
      </c>
      <c r="D264" s="175">
        <v>136.21335749999997</v>
      </c>
      <c r="F264" s="45">
        <v>882</v>
      </c>
      <c r="G264" s="45">
        <v>652.5</v>
      </c>
      <c r="H264" s="56">
        <v>206.21335749999997</v>
      </c>
      <c r="I264" s="56">
        <v>206.21335749999997</v>
      </c>
      <c r="J264" s="148">
        <v>0</v>
      </c>
      <c r="K264" s="57"/>
      <c r="L264" s="57"/>
      <c r="M264" s="57"/>
      <c r="N264" s="57"/>
      <c r="O264" s="57"/>
      <c r="P264" s="57"/>
      <c r="Q264" s="57">
        <v>70</v>
      </c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R264" s="57"/>
      <c r="AS264" s="57"/>
      <c r="AT264" s="57"/>
      <c r="AU264" s="58">
        <f t="shared" si="4"/>
        <v>136.21335749999997</v>
      </c>
      <c r="AV264" s="58"/>
    </row>
    <row r="265" spans="1:48" ht="13.5" customHeight="1">
      <c r="A265" s="84">
        <v>263</v>
      </c>
      <c r="B265" s="85">
        <v>501</v>
      </c>
      <c r="C265" s="85" t="s">
        <v>38</v>
      </c>
      <c r="D265" s="175">
        <v>228.5</v>
      </c>
      <c r="H265" s="56"/>
      <c r="I265" s="56">
        <v>882</v>
      </c>
      <c r="J265" s="148">
        <v>373.5</v>
      </c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>
        <v>240</v>
      </c>
      <c r="AL265" s="57"/>
      <c r="AM265" s="57"/>
      <c r="AN265" s="57"/>
      <c r="AO265" s="57"/>
      <c r="AP265" s="57">
        <v>40</v>
      </c>
      <c r="AQ265" s="57"/>
      <c r="AR265" s="57"/>
      <c r="AS265" s="57"/>
      <c r="AT265" s="57"/>
      <c r="AU265" s="58">
        <f t="shared" si="4"/>
        <v>228.5</v>
      </c>
      <c r="AV265" s="58"/>
    </row>
    <row r="266" spans="1:48" ht="13.5" customHeight="1">
      <c r="A266" s="84">
        <v>264</v>
      </c>
      <c r="B266" s="85">
        <v>508</v>
      </c>
      <c r="C266" s="85" t="s">
        <v>38</v>
      </c>
      <c r="D266" s="175">
        <v>128.46941499999997</v>
      </c>
      <c r="F266" s="45">
        <v>448</v>
      </c>
      <c r="G266" s="45">
        <v>472.38539999999995</v>
      </c>
      <c r="H266" s="56">
        <v>148.96941499999997</v>
      </c>
      <c r="I266" s="56">
        <v>148.96941499999997</v>
      </c>
      <c r="J266" s="148">
        <v>0</v>
      </c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>
        <v>20.5</v>
      </c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8">
        <f t="shared" si="4"/>
        <v>128.46941499999997</v>
      </c>
      <c r="AV266" s="58"/>
    </row>
    <row r="267" spans="1:48" ht="13.5" customHeight="1">
      <c r="A267" s="82">
        <v>265</v>
      </c>
      <c r="B267" s="85">
        <v>509</v>
      </c>
      <c r="C267" s="85" t="s">
        <v>38</v>
      </c>
      <c r="D267" s="175">
        <v>216.0479125</v>
      </c>
      <c r="F267" s="45">
        <v>400</v>
      </c>
      <c r="G267" s="45">
        <v>215.87484000000003</v>
      </c>
      <c r="H267" s="56">
        <v>216.0479125</v>
      </c>
      <c r="I267" s="56">
        <v>216.0479125</v>
      </c>
      <c r="J267" s="148">
        <v>0</v>
      </c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8">
        <f t="shared" si="4"/>
        <v>216.0479125</v>
      </c>
      <c r="AV267" s="58"/>
    </row>
    <row r="268" spans="1:48" ht="13.5" customHeight="1">
      <c r="A268" s="84">
        <v>266</v>
      </c>
      <c r="B268" s="85">
        <v>512</v>
      </c>
      <c r="C268" s="85" t="s">
        <v>38</v>
      </c>
      <c r="D268" s="175">
        <v>-94.500000000000114</v>
      </c>
      <c r="F268" s="45">
        <v>448</v>
      </c>
      <c r="G268" s="45">
        <v>383.41770000000002</v>
      </c>
      <c r="H268" s="56">
        <v>-59.500000000000114</v>
      </c>
      <c r="I268" s="56">
        <v>-59.500000000000114</v>
      </c>
      <c r="J268" s="148">
        <v>0</v>
      </c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>
        <v>35</v>
      </c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8">
        <f t="shared" si="4"/>
        <v>-94.500000000000114</v>
      </c>
      <c r="AV268" s="58"/>
    </row>
    <row r="269" spans="1:48" ht="13.5" customHeight="1">
      <c r="A269" s="82">
        <v>267</v>
      </c>
      <c r="B269" s="85">
        <v>513</v>
      </c>
      <c r="C269" s="85" t="s">
        <v>38</v>
      </c>
      <c r="D269" s="175">
        <v>90.13900000000001</v>
      </c>
      <c r="F269" s="45">
        <v>882</v>
      </c>
      <c r="G269" s="45">
        <v>976.80000000000007</v>
      </c>
      <c r="H269" s="56">
        <v>280.13900000000001</v>
      </c>
      <c r="I269" s="56">
        <v>280.13900000000001</v>
      </c>
      <c r="J269" s="148">
        <v>0</v>
      </c>
      <c r="K269" s="57"/>
      <c r="L269" s="57"/>
      <c r="M269" s="57"/>
      <c r="N269" s="57"/>
      <c r="O269" s="57"/>
      <c r="P269" s="57">
        <v>100</v>
      </c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>
        <v>44</v>
      </c>
      <c r="AJ269" s="57"/>
      <c r="AK269" s="57"/>
      <c r="AL269" s="57"/>
      <c r="AM269" s="57"/>
      <c r="AN269" s="57"/>
      <c r="AO269" s="57">
        <v>30</v>
      </c>
      <c r="AP269" s="57"/>
      <c r="AQ269" s="57"/>
      <c r="AR269" s="57"/>
      <c r="AS269" s="57"/>
      <c r="AT269" s="57">
        <v>16</v>
      </c>
      <c r="AU269" s="58">
        <f t="shared" si="4"/>
        <v>90.13900000000001</v>
      </c>
      <c r="AV269" s="58"/>
    </row>
    <row r="270" spans="1:48" ht="13.5" customHeight="1">
      <c r="A270" s="84">
        <v>268</v>
      </c>
      <c r="B270" s="85">
        <v>514</v>
      </c>
      <c r="C270" s="85" t="s">
        <v>38</v>
      </c>
      <c r="D270" s="175">
        <v>-124.28900000000002</v>
      </c>
      <c r="F270" s="45">
        <v>320</v>
      </c>
      <c r="G270" s="45">
        <v>359.76</v>
      </c>
      <c r="H270" s="56">
        <v>-124.28900000000002</v>
      </c>
      <c r="I270" s="56">
        <v>-124.28900000000002</v>
      </c>
      <c r="J270" s="148">
        <v>0</v>
      </c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>
        <v>0</v>
      </c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8">
        <f t="shared" si="4"/>
        <v>-124.28900000000002</v>
      </c>
      <c r="AV270" s="58"/>
    </row>
    <row r="271" spans="1:48" ht="13.5" customHeight="1">
      <c r="A271" s="84">
        <v>269</v>
      </c>
      <c r="B271" s="85">
        <v>517</v>
      </c>
      <c r="C271" s="85" t="s">
        <v>38</v>
      </c>
      <c r="D271" s="175">
        <v>-53.199999999999989</v>
      </c>
      <c r="F271" s="45">
        <v>160</v>
      </c>
      <c r="G271" s="45">
        <v>91.950299999999999</v>
      </c>
      <c r="H271" s="56">
        <v>86.800000000000011</v>
      </c>
      <c r="I271" s="56">
        <v>86.800000000000011</v>
      </c>
      <c r="J271" s="148">
        <v>0</v>
      </c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>
        <v>140</v>
      </c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8">
        <f t="shared" si="4"/>
        <v>-53.199999999999989</v>
      </c>
      <c r="AV271" s="58"/>
    </row>
    <row r="272" spans="1:48" ht="13.5" customHeight="1">
      <c r="A272" s="82">
        <v>270</v>
      </c>
      <c r="B272" s="85">
        <v>523</v>
      </c>
      <c r="C272" s="85" t="s">
        <v>38</v>
      </c>
      <c r="D272" s="175">
        <v>-64.185500000000047</v>
      </c>
      <c r="F272" s="45">
        <v>630</v>
      </c>
      <c r="G272" s="45">
        <v>332.05637999999999</v>
      </c>
      <c r="H272" s="56">
        <v>-64.185500000000047</v>
      </c>
      <c r="I272" s="56">
        <v>-64.185500000000047</v>
      </c>
      <c r="J272" s="148">
        <v>0</v>
      </c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8">
        <f t="shared" si="4"/>
        <v>-64.185500000000047</v>
      </c>
      <c r="AV272" s="58"/>
    </row>
    <row r="273" spans="1:48" ht="13.5" customHeight="1">
      <c r="A273" s="84">
        <v>271</v>
      </c>
      <c r="B273" s="85">
        <v>524</v>
      </c>
      <c r="C273" s="85" t="s">
        <v>38</v>
      </c>
      <c r="D273" s="175">
        <v>98.284260000000017</v>
      </c>
      <c r="F273" s="45">
        <v>400</v>
      </c>
      <c r="G273" s="45">
        <v>241.95048</v>
      </c>
      <c r="H273" s="56">
        <v>98.284260000000017</v>
      </c>
      <c r="I273" s="56">
        <v>98.284260000000017</v>
      </c>
      <c r="J273" s="148">
        <v>0</v>
      </c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8">
        <f t="shared" si="4"/>
        <v>98.284260000000017</v>
      </c>
      <c r="AV273" s="58"/>
    </row>
    <row r="274" spans="1:48" ht="13.5" customHeight="1">
      <c r="A274" s="82">
        <v>272</v>
      </c>
      <c r="B274" s="85">
        <v>526</v>
      </c>
      <c r="C274" s="85" t="s">
        <v>38</v>
      </c>
      <c r="D274" s="175">
        <v>12.893900000000031</v>
      </c>
      <c r="F274" s="45">
        <v>630</v>
      </c>
      <c r="G274" s="45">
        <v>654</v>
      </c>
      <c r="H274" s="56">
        <v>122.89390000000003</v>
      </c>
      <c r="I274" s="56">
        <v>152.89390000000003</v>
      </c>
      <c r="J274" s="149">
        <v>30</v>
      </c>
      <c r="K274" s="57">
        <v>30</v>
      </c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>
        <v>80</v>
      </c>
      <c r="AM274" s="57"/>
      <c r="AN274" s="57"/>
      <c r="AO274" s="57"/>
      <c r="AP274" s="57"/>
      <c r="AQ274" s="57"/>
      <c r="AR274" s="57"/>
      <c r="AS274" s="57"/>
      <c r="AT274" s="57"/>
      <c r="AU274" s="58">
        <f t="shared" si="4"/>
        <v>12.893900000000031</v>
      </c>
      <c r="AV274" s="58"/>
    </row>
    <row r="275" spans="1:48" ht="13.5" customHeight="1">
      <c r="A275" s="84">
        <v>273</v>
      </c>
      <c r="B275" s="85">
        <v>527</v>
      </c>
      <c r="C275" s="85" t="s">
        <v>38</v>
      </c>
      <c r="D275" s="175">
        <v>-25.995864999999995</v>
      </c>
      <c r="F275" s="45">
        <v>630</v>
      </c>
      <c r="G275" s="45">
        <v>392</v>
      </c>
      <c r="H275" s="56">
        <v>34.004135000000005</v>
      </c>
      <c r="I275" s="56">
        <v>34.004135000000005</v>
      </c>
      <c r="J275" s="148">
        <v>0</v>
      </c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>
        <v>30</v>
      </c>
      <c r="AH275" s="57"/>
      <c r="AI275" s="57">
        <v>30</v>
      </c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  <c r="AU275" s="58">
        <f t="shared" si="4"/>
        <v>-25.995864999999995</v>
      </c>
      <c r="AV275" s="58"/>
    </row>
    <row r="276" spans="1:48" ht="13.5" customHeight="1">
      <c r="A276" s="84">
        <v>274</v>
      </c>
      <c r="B276" s="85">
        <v>528</v>
      </c>
      <c r="C276" s="85" t="s">
        <v>38</v>
      </c>
      <c r="D276" s="175">
        <v>4.7950600000000065</v>
      </c>
      <c r="F276" s="45">
        <v>882</v>
      </c>
      <c r="G276" s="45">
        <v>943.84734000000003</v>
      </c>
      <c r="H276" s="56">
        <v>4.7950600000000065</v>
      </c>
      <c r="I276" s="56">
        <v>4.7950600000000065</v>
      </c>
      <c r="J276" s="148">
        <v>0</v>
      </c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7"/>
      <c r="AR276" s="57"/>
      <c r="AS276" s="57"/>
      <c r="AT276" s="57"/>
      <c r="AU276" s="58">
        <f t="shared" si="4"/>
        <v>4.7950600000000065</v>
      </c>
      <c r="AV276" s="58"/>
    </row>
    <row r="277" spans="1:48" ht="13.5" customHeight="1">
      <c r="A277" s="82">
        <v>275</v>
      </c>
      <c r="B277" s="85">
        <v>529</v>
      </c>
      <c r="C277" s="85" t="s">
        <v>38</v>
      </c>
      <c r="D277" s="175">
        <v>-36.497099999999989</v>
      </c>
      <c r="F277" s="45">
        <v>630</v>
      </c>
      <c r="G277" s="45">
        <v>507.13083</v>
      </c>
      <c r="H277" s="56">
        <v>-36.497099999999989</v>
      </c>
      <c r="I277" s="56">
        <v>-36.497099999999989</v>
      </c>
      <c r="J277" s="148">
        <v>0</v>
      </c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  <c r="AU277" s="58">
        <f t="shared" si="4"/>
        <v>-36.497099999999989</v>
      </c>
      <c r="AV277" s="58"/>
    </row>
    <row r="278" spans="1:48" ht="13.5" customHeight="1">
      <c r="A278" s="84">
        <v>276</v>
      </c>
      <c r="B278" s="85">
        <v>530</v>
      </c>
      <c r="C278" s="85" t="s">
        <v>38</v>
      </c>
      <c r="D278" s="175">
        <v>65.83299999999997</v>
      </c>
      <c r="F278" s="45">
        <v>560</v>
      </c>
      <c r="G278" s="45">
        <v>445.61399999999992</v>
      </c>
      <c r="H278" s="56">
        <v>65.83299999999997</v>
      </c>
      <c r="I278" s="56">
        <v>65.83299999999997</v>
      </c>
      <c r="J278" s="148">
        <v>0</v>
      </c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  <c r="AU278" s="58">
        <f t="shared" si="4"/>
        <v>65.83299999999997</v>
      </c>
      <c r="AV278" s="58"/>
    </row>
    <row r="279" spans="1:48" ht="13.5" customHeight="1">
      <c r="A279" s="82">
        <v>277</v>
      </c>
      <c r="B279" s="85">
        <v>532</v>
      </c>
      <c r="C279" s="85" t="s">
        <v>38</v>
      </c>
      <c r="D279" s="175">
        <v>479</v>
      </c>
      <c r="H279" s="56"/>
      <c r="I279" s="56">
        <v>504</v>
      </c>
      <c r="J279" s="148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>
        <v>25</v>
      </c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8">
        <f t="shared" si="4"/>
        <v>479</v>
      </c>
      <c r="AV279" s="58"/>
    </row>
    <row r="280" spans="1:48" ht="13.5" customHeight="1">
      <c r="A280" s="84">
        <v>278</v>
      </c>
      <c r="B280" s="85">
        <v>535</v>
      </c>
      <c r="C280" s="85" t="s">
        <v>38</v>
      </c>
      <c r="D280" s="175">
        <v>-14.879999999999995</v>
      </c>
      <c r="F280" s="45">
        <v>350</v>
      </c>
      <c r="G280" s="45">
        <v>431.35480000000001</v>
      </c>
      <c r="H280" s="56">
        <v>-14.879999999999995</v>
      </c>
      <c r="I280" s="56">
        <v>-14.879999999999995</v>
      </c>
      <c r="J280" s="148">
        <v>0</v>
      </c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  <c r="AU280" s="58">
        <f t="shared" si="4"/>
        <v>-14.879999999999995</v>
      </c>
      <c r="AV280" s="58"/>
    </row>
    <row r="281" spans="1:48" ht="13.5" customHeight="1">
      <c r="A281" s="84">
        <v>279</v>
      </c>
      <c r="B281" s="85">
        <v>536</v>
      </c>
      <c r="C281" s="85" t="s">
        <v>38</v>
      </c>
      <c r="D281" s="175">
        <v>-64.97</v>
      </c>
      <c r="H281" s="56"/>
      <c r="I281" s="56">
        <v>237.53</v>
      </c>
      <c r="J281" s="148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>
        <v>302.5</v>
      </c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8">
        <f t="shared" si="4"/>
        <v>-64.97</v>
      </c>
      <c r="AV281" s="58"/>
    </row>
    <row r="282" spans="1:48" ht="13.5" customHeight="1">
      <c r="A282" s="82">
        <v>280</v>
      </c>
      <c r="B282" s="85">
        <v>537</v>
      </c>
      <c r="C282" s="85" t="s">
        <v>38</v>
      </c>
      <c r="D282" s="175">
        <v>-249.36536500000005</v>
      </c>
      <c r="F282" s="45">
        <v>320</v>
      </c>
      <c r="G282" s="45">
        <v>274.0062825</v>
      </c>
      <c r="H282" s="56">
        <v>19.434634999999957</v>
      </c>
      <c r="I282" s="56">
        <v>19.434634999999957</v>
      </c>
      <c r="J282" s="148">
        <v>0</v>
      </c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>
        <v>68.8</v>
      </c>
      <c r="AH282" s="57">
        <v>200</v>
      </c>
      <c r="AI282" s="57"/>
      <c r="AJ282" s="57"/>
      <c r="AK282" s="57"/>
      <c r="AL282" s="57"/>
      <c r="AM282" s="57"/>
      <c r="AN282" s="57"/>
      <c r="AO282" s="57"/>
      <c r="AP282" s="57"/>
      <c r="AQ282" s="57"/>
      <c r="AR282" s="57"/>
      <c r="AS282" s="57"/>
      <c r="AT282" s="57"/>
      <c r="AU282" s="58">
        <f t="shared" si="4"/>
        <v>-249.36536500000005</v>
      </c>
      <c r="AV282" s="58"/>
    </row>
    <row r="283" spans="1:48" ht="13.5" customHeight="1">
      <c r="A283" s="84">
        <v>281</v>
      </c>
      <c r="B283" s="85">
        <v>539</v>
      </c>
      <c r="C283" s="85" t="s">
        <v>38</v>
      </c>
      <c r="D283" s="175">
        <v>-101.66199999999999</v>
      </c>
      <c r="F283" s="45">
        <v>560</v>
      </c>
      <c r="G283" s="45">
        <v>530.27369999999996</v>
      </c>
      <c r="H283" s="56">
        <v>-3.5819999999999879</v>
      </c>
      <c r="I283" s="56">
        <v>-3.5819999999999879</v>
      </c>
      <c r="J283" s="148">
        <v>0</v>
      </c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>
        <v>98.08</v>
      </c>
      <c r="AO283" s="57"/>
      <c r="AP283" s="57"/>
      <c r="AQ283" s="57"/>
      <c r="AR283" s="57"/>
      <c r="AS283" s="57"/>
      <c r="AT283" s="57"/>
      <c r="AU283" s="58">
        <f t="shared" si="4"/>
        <v>-101.66199999999999</v>
      </c>
      <c r="AV283" s="58"/>
    </row>
    <row r="284" spans="1:48" ht="13.5" customHeight="1">
      <c r="A284" s="82">
        <v>282</v>
      </c>
      <c r="B284" s="85">
        <v>540</v>
      </c>
      <c r="C284" s="85" t="s">
        <v>38</v>
      </c>
      <c r="D284" s="175">
        <v>196.97</v>
      </c>
      <c r="F284" s="45">
        <v>320</v>
      </c>
      <c r="G284" s="45">
        <v>253.27244250000001</v>
      </c>
      <c r="H284" s="56">
        <v>216.47</v>
      </c>
      <c r="I284" s="56">
        <v>216.47</v>
      </c>
      <c r="J284" s="148">
        <v>0</v>
      </c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>
        <v>19.5</v>
      </c>
      <c r="AN284" s="57"/>
      <c r="AO284" s="57"/>
      <c r="AP284" s="57"/>
      <c r="AQ284" s="57"/>
      <c r="AR284" s="57"/>
      <c r="AS284" s="57"/>
      <c r="AT284" s="57"/>
      <c r="AU284" s="58">
        <f t="shared" si="4"/>
        <v>196.97</v>
      </c>
      <c r="AV284" s="58"/>
    </row>
    <row r="285" spans="1:48" ht="13.5" customHeight="1">
      <c r="A285" s="84">
        <v>283</v>
      </c>
      <c r="B285" s="85">
        <v>544</v>
      </c>
      <c r="C285" s="85" t="s">
        <v>38</v>
      </c>
      <c r="D285" s="175">
        <v>-618.08999999999992</v>
      </c>
      <c r="F285" s="45">
        <v>350</v>
      </c>
      <c r="G285" s="45">
        <v>392.1952</v>
      </c>
      <c r="H285" s="56">
        <v>-43.089999999999975</v>
      </c>
      <c r="I285" s="56">
        <v>-43.089999999999975</v>
      </c>
      <c r="J285" s="148">
        <v>0</v>
      </c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>
        <v>150</v>
      </c>
      <c r="AA285" s="57"/>
      <c r="AB285" s="57"/>
      <c r="AC285" s="57"/>
      <c r="AD285" s="57"/>
      <c r="AE285" s="57">
        <v>25</v>
      </c>
      <c r="AF285" s="57"/>
      <c r="AG285" s="57"/>
      <c r="AH285" s="57">
        <v>400</v>
      </c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8">
        <f t="shared" si="4"/>
        <v>-618.08999999999992</v>
      </c>
      <c r="AV285" s="58"/>
    </row>
    <row r="286" spans="1:48" s="199" customFormat="1" ht="13.5" customHeight="1">
      <c r="A286" s="84">
        <v>284</v>
      </c>
      <c r="B286" s="197">
        <v>546</v>
      </c>
      <c r="C286" s="197" t="s">
        <v>38</v>
      </c>
      <c r="D286" s="198">
        <v>2.5</v>
      </c>
      <c r="H286" s="200"/>
      <c r="I286" s="200">
        <v>128</v>
      </c>
      <c r="J286" s="201">
        <v>103.5</v>
      </c>
      <c r="K286" s="202"/>
      <c r="L286" s="202"/>
      <c r="M286" s="202"/>
      <c r="N286" s="202"/>
      <c r="O286" s="202"/>
      <c r="P286" s="202"/>
      <c r="Q286" s="202"/>
      <c r="R286" s="202"/>
      <c r="S286" s="202"/>
      <c r="T286" s="202"/>
      <c r="U286" s="202"/>
      <c r="V286" s="202"/>
      <c r="W286" s="202"/>
      <c r="X286" s="202"/>
      <c r="Y286" s="202"/>
      <c r="Z286" s="202"/>
      <c r="AA286" s="202"/>
      <c r="AB286" s="202"/>
      <c r="AC286" s="202"/>
      <c r="AD286" s="202"/>
      <c r="AE286" s="202"/>
      <c r="AF286" s="202"/>
      <c r="AG286" s="202"/>
      <c r="AH286" s="202"/>
      <c r="AI286" s="202"/>
      <c r="AJ286" s="202"/>
      <c r="AK286" s="202"/>
      <c r="AL286" s="202"/>
      <c r="AM286" s="202"/>
      <c r="AN286" s="202"/>
      <c r="AO286" s="202"/>
      <c r="AP286" s="202">
        <v>22</v>
      </c>
      <c r="AQ286" s="202"/>
      <c r="AR286" s="202"/>
      <c r="AS286" s="202"/>
      <c r="AT286" s="202"/>
      <c r="AU286" s="58">
        <f t="shared" si="4"/>
        <v>2.5</v>
      </c>
      <c r="AV286" s="203"/>
    </row>
    <row r="287" spans="1:48" ht="13.5" customHeight="1">
      <c r="A287" s="82">
        <v>285</v>
      </c>
      <c r="B287" s="85">
        <v>547</v>
      </c>
      <c r="C287" s="85" t="s">
        <v>38</v>
      </c>
      <c r="D287" s="175">
        <v>-127.16334249999994</v>
      </c>
      <c r="F287" s="45">
        <v>320</v>
      </c>
      <c r="G287" s="45">
        <v>79.280924999999996</v>
      </c>
      <c r="H287" s="56">
        <v>30.086657500000058</v>
      </c>
      <c r="I287" s="56">
        <v>30.086657500000058</v>
      </c>
      <c r="J287" s="148">
        <v>0</v>
      </c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>
        <v>80</v>
      </c>
      <c r="X287" s="57"/>
      <c r="Y287" s="57"/>
      <c r="Z287" s="57">
        <v>77.25</v>
      </c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  <c r="AU287" s="58">
        <f t="shared" si="4"/>
        <v>-127.16334249999994</v>
      </c>
      <c r="AV287" s="58"/>
    </row>
    <row r="288" spans="1:48" ht="13.5" customHeight="1">
      <c r="A288" s="84">
        <v>286</v>
      </c>
      <c r="B288" s="85">
        <v>548</v>
      </c>
      <c r="C288" s="85" t="s">
        <v>38</v>
      </c>
      <c r="D288" s="175">
        <v>242.95802000000003</v>
      </c>
      <c r="F288" s="45">
        <v>630</v>
      </c>
      <c r="G288" s="45">
        <v>383.67</v>
      </c>
      <c r="H288" s="56">
        <v>242.95802000000003</v>
      </c>
      <c r="I288" s="56">
        <v>242.95802000000003</v>
      </c>
      <c r="J288" s="148">
        <v>0</v>
      </c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/>
      <c r="AS288" s="57"/>
      <c r="AT288" s="57"/>
      <c r="AU288" s="58">
        <f t="shared" si="4"/>
        <v>242.95802000000003</v>
      </c>
      <c r="AV288" s="58"/>
    </row>
    <row r="289" spans="1:48" ht="13.5" customHeight="1">
      <c r="A289" s="82">
        <v>287</v>
      </c>
      <c r="B289" s="85">
        <v>549</v>
      </c>
      <c r="C289" s="85" t="s">
        <v>38</v>
      </c>
      <c r="D289" s="175">
        <v>136</v>
      </c>
      <c r="H289" s="56"/>
      <c r="I289" s="56">
        <v>256</v>
      </c>
      <c r="J289" s="148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>
        <v>50</v>
      </c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>
        <v>70</v>
      </c>
      <c r="AO289" s="57"/>
      <c r="AP289" s="57"/>
      <c r="AQ289" s="57"/>
      <c r="AR289" s="57"/>
      <c r="AS289" s="57"/>
      <c r="AT289" s="57"/>
      <c r="AU289" s="58">
        <f t="shared" si="4"/>
        <v>136</v>
      </c>
      <c r="AV289" s="58"/>
    </row>
    <row r="290" spans="1:48" ht="13.5" customHeight="1">
      <c r="A290" s="84">
        <v>288</v>
      </c>
      <c r="B290" s="85">
        <v>552</v>
      </c>
      <c r="C290" s="85" t="s">
        <v>38</v>
      </c>
      <c r="D290" s="175">
        <v>107.12312500000002</v>
      </c>
      <c r="F290" s="45">
        <v>250</v>
      </c>
      <c r="G290" s="45">
        <v>199.90860000000001</v>
      </c>
      <c r="H290" s="56">
        <v>107.12312500000002</v>
      </c>
      <c r="I290" s="56">
        <v>107.12312500000002</v>
      </c>
      <c r="J290" s="148">
        <v>0</v>
      </c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8">
        <f t="shared" si="4"/>
        <v>107.12312500000002</v>
      </c>
      <c r="AV290" s="58"/>
    </row>
    <row r="291" spans="1:48" ht="13.5" customHeight="1">
      <c r="A291" s="84">
        <v>289</v>
      </c>
      <c r="B291" s="85">
        <v>553</v>
      </c>
      <c r="C291" s="85" t="s">
        <v>38</v>
      </c>
      <c r="D291" s="175">
        <v>52.52000000000001</v>
      </c>
      <c r="F291" s="45">
        <v>250</v>
      </c>
      <c r="G291" s="45">
        <v>131.65666499999998</v>
      </c>
      <c r="H291" s="56">
        <v>113.02000000000001</v>
      </c>
      <c r="I291" s="56">
        <v>113.02000000000001</v>
      </c>
      <c r="J291" s="148">
        <v>0</v>
      </c>
      <c r="K291" s="57"/>
      <c r="L291" s="57"/>
      <c r="M291" s="57"/>
      <c r="N291" s="57"/>
      <c r="O291" s="57"/>
      <c r="P291" s="57"/>
      <c r="Q291" s="57"/>
      <c r="R291" s="57"/>
      <c r="S291" s="57"/>
      <c r="T291" s="57">
        <v>23.5</v>
      </c>
      <c r="U291" s="57"/>
      <c r="V291" s="57"/>
      <c r="W291" s="57"/>
      <c r="X291" s="57"/>
      <c r="Y291" s="57"/>
      <c r="Z291" s="57"/>
      <c r="AA291" s="57"/>
      <c r="AB291" s="57"/>
      <c r="AC291" s="57">
        <v>37</v>
      </c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  <c r="AN291" s="57"/>
      <c r="AO291" s="57"/>
      <c r="AP291" s="57"/>
      <c r="AQ291" s="57"/>
      <c r="AR291" s="57"/>
      <c r="AS291" s="57"/>
      <c r="AT291" s="57"/>
      <c r="AU291" s="58">
        <f t="shared" si="4"/>
        <v>52.52000000000001</v>
      </c>
      <c r="AV291" s="58"/>
    </row>
    <row r="292" spans="1:48" ht="13.5" customHeight="1">
      <c r="A292" s="82">
        <v>290</v>
      </c>
      <c r="B292" s="85">
        <v>559</v>
      </c>
      <c r="C292" s="85" t="s">
        <v>38</v>
      </c>
      <c r="D292" s="175">
        <v>15.519999999999982</v>
      </c>
      <c r="F292" s="45">
        <v>400</v>
      </c>
      <c r="G292" s="45">
        <v>342.16230000000002</v>
      </c>
      <c r="H292" s="56">
        <v>55.519999999999982</v>
      </c>
      <c r="I292" s="56">
        <v>55.519999999999982</v>
      </c>
      <c r="J292" s="148">
        <v>0</v>
      </c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>
        <v>40</v>
      </c>
      <c r="AE292" s="57"/>
      <c r="AF292" s="57"/>
      <c r="AG292" s="57"/>
      <c r="AH292" s="57"/>
      <c r="AI292" s="57"/>
      <c r="AJ292" s="57"/>
      <c r="AK292" s="57"/>
      <c r="AL292" s="57"/>
      <c r="AM292" s="57"/>
      <c r="AN292" s="57"/>
      <c r="AO292" s="57"/>
      <c r="AP292" s="57"/>
      <c r="AQ292" s="57"/>
      <c r="AR292" s="57"/>
      <c r="AS292" s="57"/>
      <c r="AT292" s="57"/>
      <c r="AU292" s="58">
        <f t="shared" si="4"/>
        <v>15.519999999999982</v>
      </c>
      <c r="AV292" s="58"/>
    </row>
    <row r="293" spans="1:48" ht="13.5" customHeight="1">
      <c r="A293" s="84">
        <v>291</v>
      </c>
      <c r="B293" s="85">
        <v>561</v>
      </c>
      <c r="C293" s="85" t="s">
        <v>38</v>
      </c>
      <c r="D293" s="175">
        <v>-834.45580000000007</v>
      </c>
      <c r="F293" s="45">
        <v>882</v>
      </c>
      <c r="G293" s="45">
        <v>626.57400000000007</v>
      </c>
      <c r="H293" s="56">
        <v>-30.455800000000067</v>
      </c>
      <c r="I293" s="56">
        <v>-30.455800000000067</v>
      </c>
      <c r="J293" s="148">
        <v>0</v>
      </c>
      <c r="K293" s="57"/>
      <c r="L293" s="57"/>
      <c r="M293" s="57">
        <v>149</v>
      </c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>
        <v>35</v>
      </c>
      <c r="Y293" s="57"/>
      <c r="Z293" s="57">
        <v>400</v>
      </c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>
        <v>90</v>
      </c>
      <c r="AM293" s="57">
        <v>80</v>
      </c>
      <c r="AN293" s="57"/>
      <c r="AO293" s="57"/>
      <c r="AP293" s="57"/>
      <c r="AQ293" s="57"/>
      <c r="AR293" s="57"/>
      <c r="AS293" s="57"/>
      <c r="AT293" s="57">
        <v>50</v>
      </c>
      <c r="AU293" s="58">
        <f t="shared" si="4"/>
        <v>-834.45580000000007</v>
      </c>
      <c r="AV293" s="58"/>
    </row>
    <row r="294" spans="1:48" ht="13.5" customHeight="1">
      <c r="A294" s="82">
        <v>292</v>
      </c>
      <c r="B294" s="85">
        <v>562</v>
      </c>
      <c r="C294" s="85" t="s">
        <v>38</v>
      </c>
      <c r="D294" s="175">
        <v>68.877999999999986</v>
      </c>
      <c r="F294" s="45">
        <v>400</v>
      </c>
      <c r="G294" s="45">
        <v>325.72800000000001</v>
      </c>
      <c r="H294" s="56">
        <v>68.877999999999986</v>
      </c>
      <c r="I294" s="56">
        <v>68.877999999999986</v>
      </c>
      <c r="J294" s="148">
        <v>0</v>
      </c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8">
        <f t="shared" si="4"/>
        <v>68.877999999999986</v>
      </c>
      <c r="AV294" s="58"/>
    </row>
    <row r="295" spans="1:48" ht="13.5" customHeight="1">
      <c r="A295" s="84">
        <v>293</v>
      </c>
      <c r="B295" s="85">
        <v>563</v>
      </c>
      <c r="C295" s="85" t="s">
        <v>38</v>
      </c>
      <c r="D295" s="175">
        <v>-614.5187588</v>
      </c>
      <c r="F295" s="45">
        <v>560</v>
      </c>
      <c r="G295" s="45">
        <v>334.08</v>
      </c>
      <c r="H295" s="56">
        <v>-52.518758800000001</v>
      </c>
      <c r="I295" s="56">
        <v>-52.518758800000001</v>
      </c>
      <c r="J295" s="148">
        <v>0</v>
      </c>
      <c r="K295" s="57"/>
      <c r="L295" s="57">
        <v>223</v>
      </c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>
        <v>264</v>
      </c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57">
        <v>75</v>
      </c>
      <c r="AU295" s="58">
        <f t="shared" si="4"/>
        <v>-614.5187588</v>
      </c>
      <c r="AV295" s="58"/>
    </row>
    <row r="296" spans="1:48" ht="13.5" customHeight="1">
      <c r="A296" s="84">
        <v>294</v>
      </c>
      <c r="B296" s="85">
        <v>566</v>
      </c>
      <c r="C296" s="85" t="s">
        <v>38</v>
      </c>
      <c r="D296" s="175">
        <v>47.846000000000004</v>
      </c>
      <c r="F296" s="45">
        <v>400</v>
      </c>
      <c r="G296" s="45">
        <v>316.45379999999994</v>
      </c>
      <c r="H296" s="56">
        <v>47.846000000000004</v>
      </c>
      <c r="I296" s="56">
        <v>47.846000000000004</v>
      </c>
      <c r="J296" s="148">
        <v>0</v>
      </c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8">
        <f t="shared" si="4"/>
        <v>47.846000000000004</v>
      </c>
      <c r="AV296" s="58"/>
    </row>
    <row r="297" spans="1:48" ht="13.5" customHeight="1">
      <c r="A297" s="82">
        <v>295</v>
      </c>
      <c r="B297" s="85">
        <v>567</v>
      </c>
      <c r="C297" s="85" t="s">
        <v>38</v>
      </c>
      <c r="D297" s="175">
        <v>-50.338982499999929</v>
      </c>
      <c r="F297" s="45">
        <v>350</v>
      </c>
      <c r="G297" s="45">
        <v>352.35870000000006</v>
      </c>
      <c r="H297" s="56">
        <v>-50.338982499999929</v>
      </c>
      <c r="I297" s="56">
        <v>-50.338982499999929</v>
      </c>
      <c r="J297" s="148">
        <v>0</v>
      </c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  <c r="AL297" s="57"/>
      <c r="AM297" s="57"/>
      <c r="AN297" s="57"/>
      <c r="AO297" s="57"/>
      <c r="AP297" s="57"/>
      <c r="AQ297" s="57"/>
      <c r="AR297" s="57"/>
      <c r="AS297" s="57"/>
      <c r="AT297" s="57"/>
      <c r="AU297" s="58">
        <f t="shared" si="4"/>
        <v>-50.338982499999929</v>
      </c>
      <c r="AV297" s="58"/>
    </row>
    <row r="298" spans="1:48" ht="13.5" customHeight="1">
      <c r="A298" s="84">
        <v>296</v>
      </c>
      <c r="B298" s="85">
        <v>571</v>
      </c>
      <c r="C298" s="85" t="s">
        <v>38</v>
      </c>
      <c r="D298" s="175">
        <v>-404.13</v>
      </c>
      <c r="F298" s="45">
        <v>630</v>
      </c>
      <c r="G298" s="45">
        <v>524.22023999999999</v>
      </c>
      <c r="H298" s="56">
        <v>-98.665224999999964</v>
      </c>
      <c r="I298" s="56">
        <v>320</v>
      </c>
      <c r="J298" s="161">
        <v>264.13</v>
      </c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>
        <v>250</v>
      </c>
      <c r="AL298" s="57"/>
      <c r="AM298" s="57">
        <v>210</v>
      </c>
      <c r="AN298" s="57"/>
      <c r="AO298" s="57"/>
      <c r="AP298" s="57"/>
      <c r="AQ298" s="57"/>
      <c r="AR298" s="57"/>
      <c r="AS298" s="57"/>
      <c r="AT298" s="57"/>
      <c r="AU298" s="58">
        <f t="shared" si="4"/>
        <v>-404.13</v>
      </c>
      <c r="AV298" s="58"/>
    </row>
    <row r="299" spans="1:48" ht="13.5" customHeight="1">
      <c r="A299" s="82">
        <v>297</v>
      </c>
      <c r="B299" s="85">
        <v>572</v>
      </c>
      <c r="C299" s="85" t="s">
        <v>38</v>
      </c>
      <c r="D299" s="175">
        <v>50.446500000000015</v>
      </c>
      <c r="F299" s="45">
        <v>400</v>
      </c>
      <c r="G299" s="45">
        <v>148.12619999999998</v>
      </c>
      <c r="H299" s="56">
        <v>118.94650000000001</v>
      </c>
      <c r="I299" s="56">
        <v>118.94650000000001</v>
      </c>
      <c r="J299" s="148">
        <v>0</v>
      </c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>
        <v>68.5</v>
      </c>
      <c r="AD299" s="57"/>
      <c r="AE299" s="57"/>
      <c r="AF299" s="57"/>
      <c r="AG299" s="57"/>
      <c r="AH299" s="57"/>
      <c r="AI299" s="57"/>
      <c r="AJ299" s="57"/>
      <c r="AK299" s="57"/>
      <c r="AL299" s="57"/>
      <c r="AM299" s="57"/>
      <c r="AN299" s="57"/>
      <c r="AO299" s="57"/>
      <c r="AP299" s="57"/>
      <c r="AQ299" s="57"/>
      <c r="AR299" s="57"/>
      <c r="AS299" s="57"/>
      <c r="AT299" s="57"/>
      <c r="AU299" s="58">
        <f t="shared" si="4"/>
        <v>50.446500000000015</v>
      </c>
      <c r="AV299" s="58"/>
    </row>
    <row r="300" spans="1:48" ht="13.5" customHeight="1">
      <c r="A300" s="84">
        <v>298</v>
      </c>
      <c r="B300" s="85">
        <v>577</v>
      </c>
      <c r="C300" s="85" t="s">
        <v>38</v>
      </c>
      <c r="D300" s="175">
        <v>-140.38439375000002</v>
      </c>
      <c r="F300" s="45">
        <v>350</v>
      </c>
      <c r="G300" s="45">
        <v>453.25199908799993</v>
      </c>
      <c r="H300" s="56">
        <v>-140.38439375000002</v>
      </c>
      <c r="I300" s="56">
        <v>-140.38439375000002</v>
      </c>
      <c r="J300" s="148">
        <v>0</v>
      </c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57"/>
      <c r="AS300" s="57"/>
      <c r="AT300" s="57"/>
      <c r="AU300" s="58">
        <f t="shared" si="4"/>
        <v>-140.38439375000002</v>
      </c>
      <c r="AV300" s="58"/>
    </row>
    <row r="301" spans="1:48" ht="13.5" customHeight="1">
      <c r="A301" s="84">
        <v>299</v>
      </c>
      <c r="B301" s="85">
        <v>578</v>
      </c>
      <c r="C301" s="85" t="s">
        <v>38</v>
      </c>
      <c r="D301" s="175">
        <v>-298.2</v>
      </c>
      <c r="F301" s="45">
        <v>882</v>
      </c>
      <c r="G301" s="45">
        <v>728.93819999999994</v>
      </c>
      <c r="H301" s="56">
        <v>-148.19999999999999</v>
      </c>
      <c r="I301" s="56">
        <v>1.8000000000000007</v>
      </c>
      <c r="J301" s="148">
        <v>150</v>
      </c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  <c r="AL301" s="57"/>
      <c r="AM301" s="57"/>
      <c r="AN301" s="57"/>
      <c r="AO301" s="57"/>
      <c r="AP301" s="57"/>
      <c r="AQ301" s="57"/>
      <c r="AR301" s="57"/>
      <c r="AS301" s="57">
        <v>150</v>
      </c>
      <c r="AT301" s="57"/>
      <c r="AU301" s="58">
        <f t="shared" si="4"/>
        <v>-298.2</v>
      </c>
      <c r="AV301" s="58"/>
    </row>
    <row r="302" spans="1:48" ht="13.5" customHeight="1">
      <c r="A302" s="82">
        <v>300</v>
      </c>
      <c r="B302" s="85">
        <v>579</v>
      </c>
      <c r="C302" s="85" t="s">
        <v>38</v>
      </c>
      <c r="D302" s="175">
        <v>78.583290000000034</v>
      </c>
      <c r="F302" s="45">
        <v>250</v>
      </c>
      <c r="G302" s="45">
        <v>151.31474999999998</v>
      </c>
      <c r="H302" s="56">
        <v>78.583290000000034</v>
      </c>
      <c r="I302" s="56">
        <v>78.583290000000034</v>
      </c>
      <c r="J302" s="148">
        <v>0</v>
      </c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57"/>
      <c r="AM302" s="57"/>
      <c r="AN302" s="57"/>
      <c r="AO302" s="57"/>
      <c r="AP302" s="57"/>
      <c r="AQ302" s="57"/>
      <c r="AR302" s="57"/>
      <c r="AS302" s="57"/>
      <c r="AT302" s="57"/>
      <c r="AU302" s="58">
        <f t="shared" si="4"/>
        <v>78.583290000000034</v>
      </c>
      <c r="AV302" s="58"/>
    </row>
    <row r="303" spans="1:48" ht="13.5" customHeight="1">
      <c r="A303" s="84">
        <v>301</v>
      </c>
      <c r="B303" s="85">
        <v>581</v>
      </c>
      <c r="C303" s="85" t="s">
        <v>38</v>
      </c>
      <c r="D303" s="175">
        <v>-89.869499999999945</v>
      </c>
      <c r="F303" s="45">
        <v>250</v>
      </c>
      <c r="G303" s="45">
        <v>217.5</v>
      </c>
      <c r="H303" s="56">
        <v>-35.069499999999948</v>
      </c>
      <c r="I303" s="56">
        <v>-35.069499999999948</v>
      </c>
      <c r="J303" s="148">
        <v>0</v>
      </c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>
        <v>54.8</v>
      </c>
      <c r="AC303" s="57"/>
      <c r="AD303" s="57"/>
      <c r="AE303" s="57"/>
      <c r="AF303" s="57"/>
      <c r="AG303" s="57"/>
      <c r="AH303" s="57"/>
      <c r="AI303" s="57"/>
      <c r="AJ303" s="57"/>
      <c r="AK303" s="57"/>
      <c r="AL303" s="57"/>
      <c r="AM303" s="57"/>
      <c r="AN303" s="57"/>
      <c r="AO303" s="57"/>
      <c r="AP303" s="57"/>
      <c r="AQ303" s="57"/>
      <c r="AR303" s="57"/>
      <c r="AS303" s="57"/>
      <c r="AT303" s="57"/>
      <c r="AU303" s="58">
        <f t="shared" si="4"/>
        <v>-89.869499999999945</v>
      </c>
      <c r="AV303" s="58"/>
    </row>
    <row r="304" spans="1:48" ht="13.5" customHeight="1">
      <c r="A304" s="82">
        <v>302</v>
      </c>
      <c r="B304" s="85">
        <v>582</v>
      </c>
      <c r="C304" s="85" t="s">
        <v>38</v>
      </c>
      <c r="D304" s="175">
        <v>128.18450799999999</v>
      </c>
      <c r="F304" s="45">
        <v>400</v>
      </c>
      <c r="G304" s="45">
        <v>339.07380000000001</v>
      </c>
      <c r="H304" s="56">
        <v>128.18450799999999</v>
      </c>
      <c r="I304" s="56">
        <v>128.18450799999999</v>
      </c>
      <c r="J304" s="148">
        <v>0</v>
      </c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  <c r="AL304" s="57"/>
      <c r="AM304" s="57"/>
      <c r="AN304" s="57"/>
      <c r="AO304" s="57"/>
      <c r="AP304" s="57"/>
      <c r="AQ304" s="57"/>
      <c r="AR304" s="57"/>
      <c r="AS304" s="57"/>
      <c r="AT304" s="57"/>
      <c r="AU304" s="58">
        <f t="shared" si="4"/>
        <v>128.18450799999999</v>
      </c>
      <c r="AV304" s="58"/>
    </row>
    <row r="305" spans="1:48" ht="13.5" customHeight="1">
      <c r="A305" s="84">
        <v>303</v>
      </c>
      <c r="B305" s="85">
        <v>585</v>
      </c>
      <c r="C305" s="85" t="s">
        <v>38</v>
      </c>
      <c r="D305" s="175">
        <v>-429.70000000000005</v>
      </c>
      <c r="F305" s="45">
        <v>200</v>
      </c>
      <c r="G305" s="45">
        <v>145.11121499999999</v>
      </c>
      <c r="H305" s="56">
        <v>401.8</v>
      </c>
      <c r="I305" s="56">
        <v>401.8</v>
      </c>
      <c r="J305" s="148">
        <v>0</v>
      </c>
      <c r="K305" s="57"/>
      <c r="L305" s="57"/>
      <c r="M305" s="57">
        <v>260.3</v>
      </c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>
        <v>571.20000000000005</v>
      </c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  <c r="AL305" s="57"/>
      <c r="AM305" s="57"/>
      <c r="AN305" s="57"/>
      <c r="AO305" s="57"/>
      <c r="AP305" s="57"/>
      <c r="AQ305" s="57"/>
      <c r="AR305" s="57"/>
      <c r="AS305" s="57"/>
      <c r="AT305" s="57"/>
      <c r="AU305" s="58">
        <f t="shared" si="4"/>
        <v>-429.70000000000005</v>
      </c>
      <c r="AV305" s="58"/>
    </row>
    <row r="306" spans="1:48" ht="13.5" customHeight="1">
      <c r="A306" s="84">
        <v>304</v>
      </c>
      <c r="B306" s="85">
        <v>598</v>
      </c>
      <c r="C306" s="85" t="s">
        <v>38</v>
      </c>
      <c r="D306" s="175">
        <v>-74.519999999999982</v>
      </c>
      <c r="H306" s="56"/>
      <c r="I306" s="56">
        <v>200</v>
      </c>
      <c r="J306" s="148">
        <v>188.2</v>
      </c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>
        <v>16</v>
      </c>
      <c r="AD306" s="57"/>
      <c r="AE306" s="57"/>
      <c r="AF306" s="57"/>
      <c r="AG306" s="57"/>
      <c r="AH306" s="57"/>
      <c r="AI306" s="57"/>
      <c r="AJ306" s="57"/>
      <c r="AK306" s="57"/>
      <c r="AL306" s="57"/>
      <c r="AM306" s="57"/>
      <c r="AN306" s="57">
        <v>70.319999999999993</v>
      </c>
      <c r="AO306" s="57"/>
      <c r="AP306" s="57"/>
      <c r="AQ306" s="57"/>
      <c r="AR306" s="57"/>
      <c r="AS306" s="57"/>
      <c r="AT306" s="57"/>
      <c r="AU306" s="58">
        <f t="shared" si="4"/>
        <v>-74.519999999999982</v>
      </c>
      <c r="AV306" s="58"/>
    </row>
    <row r="307" spans="1:48" ht="13.5" customHeight="1">
      <c r="A307" s="82">
        <v>305</v>
      </c>
      <c r="B307" s="85">
        <v>599</v>
      </c>
      <c r="C307" s="85" t="s">
        <v>38</v>
      </c>
      <c r="D307" s="175">
        <v>-75.050420000000031</v>
      </c>
      <c r="F307" s="45">
        <v>400</v>
      </c>
      <c r="G307" s="45">
        <v>297.224625</v>
      </c>
      <c r="H307" s="56">
        <v>-75.050420000000031</v>
      </c>
      <c r="I307" s="56">
        <v>-75.050420000000031</v>
      </c>
      <c r="J307" s="148">
        <v>0</v>
      </c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  <c r="AL307" s="57"/>
      <c r="AM307" s="57"/>
      <c r="AN307" s="57"/>
      <c r="AO307" s="57"/>
      <c r="AP307" s="57"/>
      <c r="AQ307" s="57"/>
      <c r="AR307" s="57"/>
      <c r="AS307" s="57"/>
      <c r="AT307" s="57"/>
      <c r="AU307" s="58">
        <f t="shared" si="4"/>
        <v>-75.050420000000031</v>
      </c>
      <c r="AV307" s="58"/>
    </row>
    <row r="308" spans="1:48" ht="13.5" customHeight="1">
      <c r="A308" s="84">
        <v>306</v>
      </c>
      <c r="B308" s="85">
        <v>600</v>
      </c>
      <c r="C308" s="85" t="s">
        <v>38</v>
      </c>
      <c r="D308" s="175">
        <v>290</v>
      </c>
      <c r="H308" s="56"/>
      <c r="I308" s="56">
        <v>320</v>
      </c>
      <c r="J308" s="148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>
        <v>30</v>
      </c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  <c r="AL308" s="57"/>
      <c r="AM308" s="57"/>
      <c r="AN308" s="57"/>
      <c r="AO308" s="57"/>
      <c r="AP308" s="57"/>
      <c r="AQ308" s="57"/>
      <c r="AR308" s="57"/>
      <c r="AS308" s="57"/>
      <c r="AT308" s="57"/>
      <c r="AU308" s="58">
        <f t="shared" si="4"/>
        <v>290</v>
      </c>
      <c r="AV308" s="58"/>
    </row>
    <row r="309" spans="1:48" ht="13.5" customHeight="1">
      <c r="A309" s="82">
        <v>307</v>
      </c>
      <c r="B309" s="85">
        <v>601</v>
      </c>
      <c r="C309" s="85" t="s">
        <v>38</v>
      </c>
      <c r="D309" s="175">
        <v>114.85776999999999</v>
      </c>
      <c r="F309" s="45">
        <v>630</v>
      </c>
      <c r="G309" s="45">
        <v>500.25</v>
      </c>
      <c r="H309" s="56">
        <v>195.45776999999998</v>
      </c>
      <c r="I309" s="56">
        <v>195.45776999999998</v>
      </c>
      <c r="J309" s="148">
        <v>0</v>
      </c>
      <c r="K309" s="57"/>
      <c r="L309" s="57"/>
      <c r="M309" s="57"/>
      <c r="N309" s="57"/>
      <c r="O309" s="57"/>
      <c r="P309" s="57"/>
      <c r="Q309" s="57">
        <v>64.599999999999994</v>
      </c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>
        <v>16</v>
      </c>
      <c r="AD309" s="57"/>
      <c r="AE309" s="57"/>
      <c r="AF309" s="57"/>
      <c r="AG309" s="57"/>
      <c r="AH309" s="57"/>
      <c r="AI309" s="57"/>
      <c r="AJ309" s="57"/>
      <c r="AK309" s="57"/>
      <c r="AL309" s="57"/>
      <c r="AM309" s="57"/>
      <c r="AN309" s="57"/>
      <c r="AO309" s="57"/>
      <c r="AP309" s="57"/>
      <c r="AQ309" s="57"/>
      <c r="AR309" s="57"/>
      <c r="AS309" s="57"/>
      <c r="AT309" s="57"/>
      <c r="AU309" s="58">
        <f t="shared" si="4"/>
        <v>114.85776999999999</v>
      </c>
      <c r="AV309" s="58"/>
    </row>
    <row r="310" spans="1:48" ht="13.5" customHeight="1">
      <c r="A310" s="84">
        <v>308</v>
      </c>
      <c r="B310" s="85">
        <v>606</v>
      </c>
      <c r="C310" s="85" t="s">
        <v>38</v>
      </c>
      <c r="D310" s="175">
        <v>-104</v>
      </c>
      <c r="F310" s="45">
        <v>250</v>
      </c>
      <c r="G310" s="45">
        <v>235.745</v>
      </c>
      <c r="H310" s="56">
        <v>-44</v>
      </c>
      <c r="I310" s="56">
        <v>-44</v>
      </c>
      <c r="J310" s="148">
        <v>0</v>
      </c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>
        <v>40</v>
      </c>
      <c r="AG310" s="57"/>
      <c r="AH310" s="57"/>
      <c r="AI310" s="57"/>
      <c r="AJ310" s="57"/>
      <c r="AK310" s="57"/>
      <c r="AL310" s="57"/>
      <c r="AM310" s="57"/>
      <c r="AN310" s="57">
        <v>20</v>
      </c>
      <c r="AO310" s="57"/>
      <c r="AP310" s="57"/>
      <c r="AQ310" s="57"/>
      <c r="AR310" s="57"/>
      <c r="AS310" s="57"/>
      <c r="AT310" s="57"/>
      <c r="AU310" s="58">
        <f t="shared" si="4"/>
        <v>-104</v>
      </c>
      <c r="AV310" s="58"/>
    </row>
    <row r="311" spans="1:48" ht="13.5" customHeight="1">
      <c r="A311" s="84">
        <v>309</v>
      </c>
      <c r="B311" s="85">
        <v>607</v>
      </c>
      <c r="C311" s="85" t="s">
        <v>38</v>
      </c>
      <c r="D311" s="175">
        <v>631</v>
      </c>
      <c r="F311" s="45">
        <v>882</v>
      </c>
      <c r="G311" s="45">
        <v>882</v>
      </c>
      <c r="H311" s="56"/>
      <c r="I311" s="56">
        <v>882</v>
      </c>
      <c r="J311" s="148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>
        <v>150</v>
      </c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>
        <v>101</v>
      </c>
      <c r="AL311" s="57"/>
      <c r="AM311" s="57"/>
      <c r="AN311" s="57"/>
      <c r="AO311" s="57"/>
      <c r="AP311" s="57"/>
      <c r="AQ311" s="57"/>
      <c r="AR311" s="57"/>
      <c r="AS311" s="57"/>
      <c r="AT311" s="57"/>
      <c r="AU311" s="58">
        <f t="shared" si="4"/>
        <v>631</v>
      </c>
      <c r="AV311" s="58"/>
    </row>
    <row r="312" spans="1:48" ht="13.5" customHeight="1">
      <c r="A312" s="82">
        <v>310</v>
      </c>
      <c r="B312" s="85">
        <v>608</v>
      </c>
      <c r="C312" s="85" t="s">
        <v>38</v>
      </c>
      <c r="D312" s="175">
        <v>93.17165</v>
      </c>
      <c r="F312" s="45">
        <v>560</v>
      </c>
      <c r="G312" s="45">
        <v>587.47872000000007</v>
      </c>
      <c r="H312" s="56">
        <v>93.17165</v>
      </c>
      <c r="I312" s="56">
        <v>93.17165</v>
      </c>
      <c r="J312" s="148">
        <v>0</v>
      </c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  <c r="AN312" s="57"/>
      <c r="AO312" s="57"/>
      <c r="AP312" s="57"/>
      <c r="AQ312" s="57"/>
      <c r="AR312" s="57"/>
      <c r="AS312" s="57"/>
      <c r="AT312" s="57"/>
      <c r="AU312" s="58">
        <f t="shared" si="4"/>
        <v>93.17165</v>
      </c>
      <c r="AV312" s="58"/>
    </row>
    <row r="313" spans="1:48" ht="13.5" customHeight="1">
      <c r="A313" s="84">
        <v>311</v>
      </c>
      <c r="B313" s="85">
        <v>609</v>
      </c>
      <c r="C313" s="85" t="s">
        <v>38</v>
      </c>
      <c r="D313" s="175">
        <v>29.848000000000013</v>
      </c>
      <c r="F313" s="45">
        <v>350</v>
      </c>
      <c r="G313" s="45">
        <v>351.03630000000004</v>
      </c>
      <c r="H313" s="56">
        <v>29.848000000000013</v>
      </c>
      <c r="I313" s="56">
        <v>29.848000000000013</v>
      </c>
      <c r="J313" s="148">
        <v>0</v>
      </c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7"/>
      <c r="AS313" s="57"/>
      <c r="AT313" s="57"/>
      <c r="AU313" s="58">
        <f t="shared" si="4"/>
        <v>29.848000000000013</v>
      </c>
      <c r="AV313" s="58"/>
    </row>
    <row r="314" spans="1:48" ht="13.5" customHeight="1">
      <c r="A314" s="82">
        <v>312</v>
      </c>
      <c r="B314" s="85">
        <v>611</v>
      </c>
      <c r="C314" s="85" t="s">
        <v>38</v>
      </c>
      <c r="D314" s="175">
        <v>325.39800000000002</v>
      </c>
      <c r="F314" s="45">
        <v>448</v>
      </c>
      <c r="G314" s="45">
        <v>478.43910000000005</v>
      </c>
      <c r="H314" s="56">
        <v>375.39800000000002</v>
      </c>
      <c r="I314" s="56">
        <v>425.39800000000002</v>
      </c>
      <c r="J314" s="148">
        <v>50</v>
      </c>
      <c r="K314" s="57"/>
      <c r="L314" s="57">
        <v>50</v>
      </c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8">
        <f t="shared" si="4"/>
        <v>325.39800000000002</v>
      </c>
      <c r="AV314" s="58"/>
    </row>
    <row r="315" spans="1:48" ht="13.5" customHeight="1">
      <c r="A315" s="84">
        <v>313</v>
      </c>
      <c r="B315" s="85">
        <v>614</v>
      </c>
      <c r="C315" s="85" t="s">
        <v>38</v>
      </c>
      <c r="D315" s="175">
        <v>-9</v>
      </c>
      <c r="H315" s="56"/>
      <c r="I315" s="56">
        <v>320</v>
      </c>
      <c r="J315" s="148">
        <v>249</v>
      </c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>
        <v>40</v>
      </c>
      <c r="AN315" s="57"/>
      <c r="AO315" s="57"/>
      <c r="AP315" s="57"/>
      <c r="AQ315" s="57"/>
      <c r="AR315" s="57">
        <v>40</v>
      </c>
      <c r="AS315" s="57"/>
      <c r="AT315" s="57"/>
      <c r="AU315" s="58">
        <f t="shared" si="4"/>
        <v>-9</v>
      </c>
      <c r="AV315" s="58"/>
    </row>
    <row r="316" spans="1:48" ht="13.5" customHeight="1">
      <c r="A316" s="84">
        <v>314</v>
      </c>
      <c r="B316" s="85">
        <v>615</v>
      </c>
      <c r="C316" s="85" t="s">
        <v>38</v>
      </c>
      <c r="D316" s="175">
        <v>-36.093999999999994</v>
      </c>
      <c r="F316" s="45">
        <v>200</v>
      </c>
      <c r="G316" s="45">
        <v>230.22809999999998</v>
      </c>
      <c r="H316" s="56">
        <v>-36.093999999999994</v>
      </c>
      <c r="I316" s="56">
        <v>-36.093999999999994</v>
      </c>
      <c r="J316" s="149">
        <v>0</v>
      </c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7"/>
      <c r="AQ316" s="57"/>
      <c r="AR316" s="57"/>
      <c r="AS316" s="57"/>
      <c r="AT316" s="57"/>
      <c r="AU316" s="58">
        <f t="shared" si="4"/>
        <v>-36.093999999999994</v>
      </c>
      <c r="AV316" s="58"/>
    </row>
    <row r="317" spans="1:48" ht="13.5" customHeight="1">
      <c r="A317" s="82">
        <v>315</v>
      </c>
      <c r="B317" s="85">
        <v>618</v>
      </c>
      <c r="C317" s="85" t="s">
        <v>38</v>
      </c>
      <c r="D317" s="175">
        <v>26.160075000000006</v>
      </c>
      <c r="F317" s="45">
        <v>630</v>
      </c>
      <c r="G317" s="45">
        <v>437.65349999999995</v>
      </c>
      <c r="H317" s="56">
        <v>246.16007500000001</v>
      </c>
      <c r="I317" s="56">
        <v>246.16007500000001</v>
      </c>
      <c r="J317" s="148">
        <v>0</v>
      </c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>
        <v>40</v>
      </c>
      <c r="AA317" s="57"/>
      <c r="AB317" s="57"/>
      <c r="AC317" s="57"/>
      <c r="AD317" s="57"/>
      <c r="AE317" s="57"/>
      <c r="AF317" s="57"/>
      <c r="AG317" s="57"/>
      <c r="AH317" s="57"/>
      <c r="AI317" s="57">
        <v>50</v>
      </c>
      <c r="AJ317" s="57"/>
      <c r="AK317" s="57">
        <v>60</v>
      </c>
      <c r="AL317" s="57"/>
      <c r="AM317" s="57"/>
      <c r="AN317" s="57"/>
      <c r="AO317" s="57"/>
      <c r="AP317" s="57"/>
      <c r="AQ317" s="57"/>
      <c r="AR317" s="57"/>
      <c r="AS317" s="57">
        <v>70</v>
      </c>
      <c r="AT317" s="57"/>
      <c r="AU317" s="58">
        <f t="shared" si="4"/>
        <v>26.160075000000006</v>
      </c>
      <c r="AV317" s="58"/>
    </row>
    <row r="318" spans="1:48" ht="13.5" customHeight="1">
      <c r="A318" s="84">
        <v>316</v>
      </c>
      <c r="B318" s="85">
        <v>621</v>
      </c>
      <c r="C318" s="85" t="s">
        <v>38</v>
      </c>
      <c r="D318" s="175">
        <v>125.16150000000002</v>
      </c>
      <c r="F318" s="45">
        <v>441</v>
      </c>
      <c r="G318" s="45">
        <v>410.70849600000003</v>
      </c>
      <c r="H318" s="56">
        <v>145.16150000000002</v>
      </c>
      <c r="I318" s="56">
        <v>145.16150000000002</v>
      </c>
      <c r="J318" s="149">
        <v>0</v>
      </c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R318" s="57"/>
      <c r="AS318" s="57">
        <v>20</v>
      </c>
      <c r="AT318" s="57"/>
      <c r="AU318" s="58">
        <f t="shared" si="4"/>
        <v>125.16150000000002</v>
      </c>
      <c r="AV318" s="58"/>
    </row>
    <row r="319" spans="1:48" ht="13.5" customHeight="1">
      <c r="A319" s="82">
        <v>317</v>
      </c>
      <c r="B319" s="85">
        <v>625</v>
      </c>
      <c r="C319" s="85" t="s">
        <v>38</v>
      </c>
      <c r="D319" s="175">
        <v>-87.656064999999899</v>
      </c>
      <c r="F319" s="45">
        <v>320</v>
      </c>
      <c r="G319" s="45">
        <v>249.46380000000002</v>
      </c>
      <c r="H319" s="56">
        <v>-87.656064999999899</v>
      </c>
      <c r="I319" s="56">
        <v>-87.656064999999899</v>
      </c>
      <c r="J319" s="148">
        <v>0</v>
      </c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  <c r="AL319" s="57"/>
      <c r="AM319" s="57"/>
      <c r="AN319" s="57"/>
      <c r="AO319" s="57"/>
      <c r="AP319" s="57"/>
      <c r="AQ319" s="57"/>
      <c r="AR319" s="57"/>
      <c r="AS319" s="57"/>
      <c r="AT319" s="57"/>
      <c r="AU319" s="58">
        <f t="shared" si="4"/>
        <v>-87.656064999999899</v>
      </c>
      <c r="AV319" s="58"/>
    </row>
    <row r="320" spans="1:48" ht="13.5" customHeight="1">
      <c r="A320" s="84">
        <v>318</v>
      </c>
      <c r="B320" s="85">
        <v>627</v>
      </c>
      <c r="C320" s="85" t="s">
        <v>38</v>
      </c>
      <c r="D320" s="175">
        <v>89.619399999999985</v>
      </c>
      <c r="F320" s="45">
        <v>560</v>
      </c>
      <c r="G320" s="45">
        <v>519.62816249999992</v>
      </c>
      <c r="H320" s="56">
        <v>271.81939999999997</v>
      </c>
      <c r="I320" s="56">
        <v>271.81939999999997</v>
      </c>
      <c r="J320" s="148">
        <v>0</v>
      </c>
      <c r="K320" s="57"/>
      <c r="L320" s="57"/>
      <c r="M320" s="57">
        <v>117.2</v>
      </c>
      <c r="N320" s="57">
        <v>50</v>
      </c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  <c r="AL320" s="57">
        <v>15</v>
      </c>
      <c r="AM320" s="57"/>
      <c r="AN320" s="57"/>
      <c r="AO320" s="57"/>
      <c r="AP320" s="57"/>
      <c r="AQ320" s="57"/>
      <c r="AR320" s="57"/>
      <c r="AS320" s="57"/>
      <c r="AT320" s="57"/>
      <c r="AU320" s="58">
        <f t="shared" si="4"/>
        <v>89.619399999999985</v>
      </c>
      <c r="AV320" s="58"/>
    </row>
    <row r="321" spans="1:48" ht="13.5" customHeight="1">
      <c r="A321" s="84">
        <v>319</v>
      </c>
      <c r="B321" s="85">
        <v>629</v>
      </c>
      <c r="C321" s="85" t="s">
        <v>38</v>
      </c>
      <c r="D321" s="175">
        <v>131.51999999999998</v>
      </c>
      <c r="H321" s="56"/>
      <c r="I321" s="56">
        <v>560</v>
      </c>
      <c r="J321" s="148">
        <v>358.48</v>
      </c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>
        <v>70</v>
      </c>
      <c r="AD321" s="57"/>
      <c r="AE321" s="57"/>
      <c r="AF321" s="57"/>
      <c r="AG321" s="57"/>
      <c r="AH321" s="57"/>
      <c r="AI321" s="57"/>
      <c r="AJ321" s="57"/>
      <c r="AK321" s="57"/>
      <c r="AL321" s="57"/>
      <c r="AM321" s="57"/>
      <c r="AN321" s="57"/>
      <c r="AO321" s="57"/>
      <c r="AP321" s="57"/>
      <c r="AQ321" s="57"/>
      <c r="AR321" s="57"/>
      <c r="AS321" s="57"/>
      <c r="AT321" s="57"/>
      <c r="AU321" s="58">
        <f t="shared" si="4"/>
        <v>131.51999999999998</v>
      </c>
      <c r="AV321" s="58"/>
    </row>
    <row r="322" spans="1:48" ht="13.5" customHeight="1">
      <c r="A322" s="82">
        <v>320</v>
      </c>
      <c r="B322" s="85">
        <v>631</v>
      </c>
      <c r="C322" s="85" t="s">
        <v>38</v>
      </c>
      <c r="D322" s="175">
        <v>-7.5669000000000324</v>
      </c>
      <c r="F322" s="45">
        <v>250</v>
      </c>
      <c r="G322" s="45">
        <v>191.13899999999998</v>
      </c>
      <c r="H322" s="56">
        <v>22.433099999999968</v>
      </c>
      <c r="I322" s="56">
        <v>22.433099999999968</v>
      </c>
      <c r="J322" s="148">
        <v>0</v>
      </c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57"/>
      <c r="AO322" s="57"/>
      <c r="AP322" s="57"/>
      <c r="AQ322" s="57">
        <v>30</v>
      </c>
      <c r="AR322" s="57"/>
      <c r="AS322" s="57"/>
      <c r="AT322" s="57"/>
      <c r="AU322" s="58">
        <f t="shared" si="4"/>
        <v>-7.5669000000000324</v>
      </c>
      <c r="AV322" s="58"/>
    </row>
    <row r="323" spans="1:48" ht="13.5" customHeight="1">
      <c r="A323" s="84">
        <v>321</v>
      </c>
      <c r="B323" s="85">
        <v>632</v>
      </c>
      <c r="C323" s="85" t="s">
        <v>38</v>
      </c>
      <c r="D323" s="175">
        <v>-226.41567500000002</v>
      </c>
      <c r="F323" s="45">
        <v>320</v>
      </c>
      <c r="G323" s="45">
        <v>291.49349999999998</v>
      </c>
      <c r="H323" s="56">
        <v>70.684325000000001</v>
      </c>
      <c r="I323" s="56">
        <v>70.684325000000001</v>
      </c>
      <c r="J323" s="148">
        <v>0</v>
      </c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7">
        <v>40</v>
      </c>
      <c r="AO323" s="57"/>
      <c r="AP323" s="57"/>
      <c r="AQ323" s="57">
        <v>257.10000000000002</v>
      </c>
      <c r="AR323" s="57"/>
      <c r="AS323" s="57"/>
      <c r="AT323" s="57"/>
      <c r="AU323" s="58">
        <f t="shared" si="4"/>
        <v>-226.41567500000002</v>
      </c>
      <c r="AV323" s="58"/>
    </row>
    <row r="324" spans="1:48" ht="13.5" customHeight="1">
      <c r="A324" s="82">
        <v>322</v>
      </c>
      <c r="B324" s="85">
        <v>647</v>
      </c>
      <c r="C324" s="85" t="s">
        <v>38</v>
      </c>
      <c r="D324" s="175">
        <v>-9.4000000000000057</v>
      </c>
      <c r="H324" s="56"/>
      <c r="I324" s="56">
        <v>200</v>
      </c>
      <c r="J324" s="148">
        <v>139.4</v>
      </c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>
        <v>70</v>
      </c>
      <c r="AJ324" s="57"/>
      <c r="AK324" s="57"/>
      <c r="AL324" s="57"/>
      <c r="AM324" s="57"/>
      <c r="AN324" s="57"/>
      <c r="AO324" s="57"/>
      <c r="AP324" s="57"/>
      <c r="AQ324" s="57"/>
      <c r="AR324" s="57"/>
      <c r="AS324" s="57"/>
      <c r="AT324" s="57"/>
      <c r="AU324" s="58">
        <f t="shared" ref="AU324:AU387" si="5">I324-J324-K324-L324-M324-N324-O324-P324-Q324-R324-S324-T324-U324-V324-W324-X324-Y324-Z324-AA324-AB324-AC324-AD324-AE324-AF324-AG324-AH324-AI324-AJ324-AK324-AL324-AM324-AN324-AO324-AP324-AQ324-AR324-AS324-AT324</f>
        <v>-9.4000000000000057</v>
      </c>
      <c r="AV324" s="58"/>
    </row>
    <row r="325" spans="1:48" ht="12.75" customHeight="1">
      <c r="A325" s="84">
        <v>323</v>
      </c>
      <c r="B325" s="85">
        <v>648</v>
      </c>
      <c r="C325" s="85" t="s">
        <v>38</v>
      </c>
      <c r="D325" s="175">
        <v>82.584899999999948</v>
      </c>
      <c r="F325" s="45">
        <v>441</v>
      </c>
      <c r="G325" s="45">
        <v>468.72800000000007</v>
      </c>
      <c r="H325" s="56">
        <v>82.584899999999948</v>
      </c>
      <c r="I325" s="56">
        <v>82.584899999999948</v>
      </c>
      <c r="J325" s="148">
        <v>0</v>
      </c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8">
        <f t="shared" si="5"/>
        <v>82.584899999999948</v>
      </c>
      <c r="AV325" s="58"/>
    </row>
    <row r="326" spans="1:48" ht="12.75" customHeight="1">
      <c r="A326" s="84">
        <v>324</v>
      </c>
      <c r="B326" s="85">
        <v>649</v>
      </c>
      <c r="C326" s="85" t="s">
        <v>38</v>
      </c>
      <c r="D326" s="175">
        <v>410</v>
      </c>
      <c r="H326" s="56"/>
      <c r="I326" s="56">
        <v>560</v>
      </c>
      <c r="J326" s="148">
        <v>0</v>
      </c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>
        <v>150</v>
      </c>
      <c r="AL326" s="57"/>
      <c r="AM326" s="57"/>
      <c r="AN326" s="57"/>
      <c r="AO326" s="57"/>
      <c r="AP326" s="57"/>
      <c r="AQ326" s="57"/>
      <c r="AR326" s="57"/>
      <c r="AS326" s="57"/>
      <c r="AT326" s="57"/>
      <c r="AU326" s="58">
        <f t="shared" si="5"/>
        <v>410</v>
      </c>
      <c r="AV326" s="58"/>
    </row>
    <row r="327" spans="1:48" ht="13.5" customHeight="1">
      <c r="A327" s="82">
        <v>325</v>
      </c>
      <c r="B327" s="85">
        <v>651</v>
      </c>
      <c r="C327" s="85" t="s">
        <v>38</v>
      </c>
      <c r="D327" s="175">
        <v>85.67999999999995</v>
      </c>
      <c r="H327" s="56"/>
      <c r="I327" s="56">
        <v>448</v>
      </c>
      <c r="J327" s="150">
        <v>332.32000000000005</v>
      </c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>
        <v>10</v>
      </c>
      <c r="AC327" s="57"/>
      <c r="AD327" s="57"/>
      <c r="AE327" s="57"/>
      <c r="AF327" s="57"/>
      <c r="AG327" s="57"/>
      <c r="AH327" s="57"/>
      <c r="AI327" s="57"/>
      <c r="AJ327" s="57"/>
      <c r="AK327" s="57"/>
      <c r="AL327" s="57">
        <v>20</v>
      </c>
      <c r="AM327" s="57"/>
      <c r="AN327" s="57"/>
      <c r="AO327" s="57"/>
      <c r="AP327" s="57"/>
      <c r="AQ327" s="57"/>
      <c r="AR327" s="57"/>
      <c r="AS327" s="57"/>
      <c r="AT327" s="57"/>
      <c r="AU327" s="58">
        <f t="shared" si="5"/>
        <v>85.67999999999995</v>
      </c>
      <c r="AV327" s="58"/>
    </row>
    <row r="328" spans="1:48" ht="13.5" customHeight="1">
      <c r="A328" s="84">
        <v>326</v>
      </c>
      <c r="B328" s="85">
        <v>652</v>
      </c>
      <c r="C328" s="85" t="s">
        <v>38</v>
      </c>
      <c r="D328" s="175">
        <v>110.75</v>
      </c>
      <c r="F328" s="45">
        <v>560</v>
      </c>
      <c r="G328" s="45">
        <v>596.24849999999992</v>
      </c>
      <c r="H328" s="56">
        <v>110.75</v>
      </c>
      <c r="I328" s="56">
        <v>110.75</v>
      </c>
      <c r="J328" s="148">
        <v>0</v>
      </c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/>
      <c r="AK328" s="57"/>
      <c r="AL328" s="57"/>
      <c r="AM328" s="57"/>
      <c r="AN328" s="57"/>
      <c r="AO328" s="57"/>
      <c r="AP328" s="57"/>
      <c r="AQ328" s="57"/>
      <c r="AR328" s="57"/>
      <c r="AS328" s="57"/>
      <c r="AT328" s="57"/>
      <c r="AU328" s="58">
        <f t="shared" si="5"/>
        <v>110.75</v>
      </c>
      <c r="AV328" s="58"/>
    </row>
    <row r="329" spans="1:48" ht="13.5" customHeight="1">
      <c r="A329" s="82">
        <v>327</v>
      </c>
      <c r="B329" s="85">
        <v>653</v>
      </c>
      <c r="C329" s="85" t="s">
        <v>38</v>
      </c>
      <c r="D329" s="175">
        <v>259.88649999999996</v>
      </c>
      <c r="F329" s="45">
        <v>448</v>
      </c>
      <c r="G329" s="45">
        <v>511</v>
      </c>
      <c r="H329" s="56">
        <v>259.88649999999996</v>
      </c>
      <c r="I329" s="56">
        <v>259.88649999999996</v>
      </c>
      <c r="J329" s="148">
        <v>0</v>
      </c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  <c r="AL329" s="57"/>
      <c r="AM329" s="57"/>
      <c r="AN329" s="57"/>
      <c r="AO329" s="57"/>
      <c r="AP329" s="57"/>
      <c r="AQ329" s="57"/>
      <c r="AR329" s="57"/>
      <c r="AS329" s="57"/>
      <c r="AT329" s="57"/>
      <c r="AU329" s="58">
        <f t="shared" si="5"/>
        <v>259.88649999999996</v>
      </c>
      <c r="AV329" s="58"/>
    </row>
    <row r="330" spans="1:48" ht="13.5" customHeight="1">
      <c r="A330" s="84">
        <v>328</v>
      </c>
      <c r="B330" s="85">
        <v>654</v>
      </c>
      <c r="C330" s="85" t="s">
        <v>38</v>
      </c>
      <c r="D330" s="175">
        <v>-328.06459999999993</v>
      </c>
      <c r="F330" s="45">
        <v>441</v>
      </c>
      <c r="G330" s="45">
        <v>495</v>
      </c>
      <c r="H330" s="56">
        <v>-170.06459999999993</v>
      </c>
      <c r="I330" s="56">
        <v>-170.06459999999993</v>
      </c>
      <c r="J330" s="148">
        <v>0</v>
      </c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57"/>
      <c r="AM330" s="57"/>
      <c r="AN330" s="57"/>
      <c r="AO330" s="57"/>
      <c r="AP330" s="57"/>
      <c r="AQ330" s="57"/>
      <c r="AR330" s="57"/>
      <c r="AS330" s="57"/>
      <c r="AT330" s="57">
        <v>158</v>
      </c>
      <c r="AU330" s="58">
        <f t="shared" si="5"/>
        <v>-328.06459999999993</v>
      </c>
      <c r="AV330" s="58"/>
    </row>
    <row r="331" spans="1:48" ht="13.5" customHeight="1">
      <c r="A331" s="84">
        <v>329</v>
      </c>
      <c r="B331" s="85">
        <v>655</v>
      </c>
      <c r="C331" s="85" t="s">
        <v>38</v>
      </c>
      <c r="D331" s="175">
        <v>-124.48124500000006</v>
      </c>
      <c r="F331" s="45">
        <v>400</v>
      </c>
      <c r="G331" s="45">
        <v>295.8</v>
      </c>
      <c r="H331" s="56">
        <v>-4.4812450000000581</v>
      </c>
      <c r="I331" s="56">
        <v>-4.4812450000000581</v>
      </c>
      <c r="J331" s="148">
        <v>0</v>
      </c>
      <c r="K331" s="57"/>
      <c r="L331" s="57"/>
      <c r="M331" s="57"/>
      <c r="N331" s="57"/>
      <c r="O331" s="57"/>
      <c r="P331" s="57">
        <v>50</v>
      </c>
      <c r="Q331" s="57"/>
      <c r="R331" s="57">
        <v>40</v>
      </c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>
        <v>30</v>
      </c>
      <c r="AD331" s="57"/>
      <c r="AE331" s="57"/>
      <c r="AF331" s="57"/>
      <c r="AG331" s="57"/>
      <c r="AH331" s="57"/>
      <c r="AI331" s="57"/>
      <c r="AJ331" s="57"/>
      <c r="AK331" s="57"/>
      <c r="AL331" s="57"/>
      <c r="AM331" s="57"/>
      <c r="AN331" s="57"/>
      <c r="AO331" s="57"/>
      <c r="AP331" s="57"/>
      <c r="AQ331" s="57"/>
      <c r="AR331" s="57"/>
      <c r="AS331" s="57"/>
      <c r="AT331" s="57"/>
      <c r="AU331" s="58">
        <f t="shared" si="5"/>
        <v>-124.48124500000006</v>
      </c>
      <c r="AV331" s="58"/>
    </row>
    <row r="332" spans="1:48" ht="13.5" customHeight="1">
      <c r="A332" s="82">
        <v>330</v>
      </c>
      <c r="B332" s="85">
        <v>660</v>
      </c>
      <c r="C332" s="85" t="s">
        <v>38</v>
      </c>
      <c r="D332" s="175">
        <v>-116.00000000000003</v>
      </c>
      <c r="F332" s="45">
        <v>180</v>
      </c>
      <c r="G332" s="45">
        <v>172.9</v>
      </c>
      <c r="H332" s="56">
        <v>54.649999999999977</v>
      </c>
      <c r="I332" s="56">
        <v>54.649999999999977</v>
      </c>
      <c r="J332" s="148">
        <v>0</v>
      </c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>
        <v>153.65</v>
      </c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  <c r="AN332" s="57"/>
      <c r="AO332" s="57"/>
      <c r="AP332" s="57"/>
      <c r="AQ332" s="57"/>
      <c r="AR332" s="57"/>
      <c r="AS332" s="57"/>
      <c r="AT332" s="57">
        <v>17</v>
      </c>
      <c r="AU332" s="58">
        <f t="shared" si="5"/>
        <v>-116.00000000000003</v>
      </c>
      <c r="AV332" s="58"/>
    </row>
    <row r="333" spans="1:48" ht="13.5" customHeight="1">
      <c r="A333" s="84">
        <v>331</v>
      </c>
      <c r="B333" s="85">
        <v>664</v>
      </c>
      <c r="C333" s="85" t="s">
        <v>38</v>
      </c>
      <c r="D333" s="175">
        <v>-89</v>
      </c>
      <c r="F333" s="45">
        <v>180</v>
      </c>
      <c r="G333" s="45">
        <v>147.9</v>
      </c>
      <c r="H333" s="56">
        <v>-44</v>
      </c>
      <c r="I333" s="56">
        <v>-44</v>
      </c>
      <c r="J333" s="148">
        <v>0</v>
      </c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>
        <v>20</v>
      </c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>
        <v>25</v>
      </c>
      <c r="AJ333" s="57"/>
      <c r="AK333" s="57"/>
      <c r="AL333" s="57"/>
      <c r="AM333" s="57"/>
      <c r="AN333" s="57"/>
      <c r="AO333" s="57"/>
      <c r="AP333" s="57"/>
      <c r="AQ333" s="57"/>
      <c r="AR333" s="57"/>
      <c r="AS333" s="57"/>
      <c r="AT333" s="57"/>
      <c r="AU333" s="58">
        <f t="shared" si="5"/>
        <v>-89</v>
      </c>
      <c r="AV333" s="58"/>
    </row>
    <row r="334" spans="1:48" ht="13.5" customHeight="1">
      <c r="A334" s="82">
        <v>332</v>
      </c>
      <c r="B334" s="85">
        <v>668</v>
      </c>
      <c r="C334" s="85" t="s">
        <v>38</v>
      </c>
      <c r="D334" s="175">
        <v>-87.544800000000066</v>
      </c>
      <c r="F334" s="45">
        <v>320</v>
      </c>
      <c r="G334" s="45">
        <v>252.3</v>
      </c>
      <c r="H334" s="56">
        <v>-87.544800000000066</v>
      </c>
      <c r="I334" s="56">
        <v>-87.544800000000066</v>
      </c>
      <c r="J334" s="148">
        <v>0</v>
      </c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R334" s="57"/>
      <c r="AS334" s="57"/>
      <c r="AT334" s="57"/>
      <c r="AU334" s="58">
        <f t="shared" si="5"/>
        <v>-87.544800000000066</v>
      </c>
      <c r="AV334" s="58"/>
    </row>
    <row r="335" spans="1:48" ht="14.25" customHeight="1">
      <c r="A335" s="84">
        <v>333</v>
      </c>
      <c r="B335" s="85">
        <v>682</v>
      </c>
      <c r="C335" s="85" t="s">
        <v>38</v>
      </c>
      <c r="D335" s="175">
        <v>92.269855999999976</v>
      </c>
      <c r="F335" s="45">
        <v>320</v>
      </c>
      <c r="G335" s="45">
        <v>222.72</v>
      </c>
      <c r="H335" s="56">
        <v>92.269855999999976</v>
      </c>
      <c r="I335" s="56">
        <v>92.269855999999976</v>
      </c>
      <c r="J335" s="148">
        <v>0</v>
      </c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/>
      <c r="AS335" s="57"/>
      <c r="AT335" s="57"/>
      <c r="AU335" s="58">
        <f t="shared" si="5"/>
        <v>92.269855999999976</v>
      </c>
      <c r="AV335" s="58"/>
    </row>
    <row r="336" spans="1:48" ht="14.25" customHeight="1">
      <c r="A336" s="84">
        <v>334</v>
      </c>
      <c r="B336" s="85">
        <v>684</v>
      </c>
      <c r="C336" s="85" t="s">
        <v>38</v>
      </c>
      <c r="D336" s="175">
        <v>-225.16000000000003</v>
      </c>
      <c r="H336" s="56"/>
      <c r="I336" s="56">
        <v>200</v>
      </c>
      <c r="J336" s="148">
        <v>390.16</v>
      </c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>
        <v>35</v>
      </c>
      <c r="AH336" s="57"/>
      <c r="AI336" s="57"/>
      <c r="AJ336" s="57"/>
      <c r="AK336" s="57"/>
      <c r="AL336" s="57"/>
      <c r="AM336" s="57"/>
      <c r="AN336" s="57"/>
      <c r="AO336" s="57"/>
      <c r="AP336" s="57"/>
      <c r="AQ336" s="57"/>
      <c r="AR336" s="57"/>
      <c r="AS336" s="57"/>
      <c r="AT336" s="57"/>
      <c r="AU336" s="58">
        <f t="shared" si="5"/>
        <v>-225.16000000000003</v>
      </c>
      <c r="AV336" s="58"/>
    </row>
    <row r="337" spans="1:48" ht="13.5" customHeight="1">
      <c r="A337" s="82">
        <v>335</v>
      </c>
      <c r="B337" s="85">
        <v>690</v>
      </c>
      <c r="C337" s="85" t="s">
        <v>38</v>
      </c>
      <c r="D337" s="175">
        <v>-280.8</v>
      </c>
      <c r="F337" s="45">
        <v>400</v>
      </c>
      <c r="G337" s="45">
        <v>278.39999999999998</v>
      </c>
      <c r="H337" s="56">
        <v>-18.800000000000011</v>
      </c>
      <c r="I337" s="56">
        <v>1.1999999999999886</v>
      </c>
      <c r="J337" s="148">
        <v>20</v>
      </c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  <c r="AN337" s="57"/>
      <c r="AO337" s="57"/>
      <c r="AP337" s="57"/>
      <c r="AQ337" s="57"/>
      <c r="AR337" s="57">
        <v>262</v>
      </c>
      <c r="AS337" s="57"/>
      <c r="AT337" s="57"/>
      <c r="AU337" s="58">
        <f t="shared" si="5"/>
        <v>-280.8</v>
      </c>
      <c r="AV337" s="58"/>
    </row>
    <row r="338" spans="1:48" ht="13.5" customHeight="1">
      <c r="A338" s="84">
        <v>336</v>
      </c>
      <c r="B338" s="85">
        <v>692</v>
      </c>
      <c r="C338" s="85" t="s">
        <v>38</v>
      </c>
      <c r="D338" s="175">
        <v>104.09971499999995</v>
      </c>
      <c r="F338" s="45">
        <v>320</v>
      </c>
      <c r="G338" s="45">
        <v>346</v>
      </c>
      <c r="H338" s="56">
        <v>274.09971499999995</v>
      </c>
      <c r="I338" s="56">
        <v>274.09971499999995</v>
      </c>
      <c r="J338" s="148">
        <v>0</v>
      </c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>
        <v>20</v>
      </c>
      <c r="AE338" s="57"/>
      <c r="AF338" s="57"/>
      <c r="AG338" s="57"/>
      <c r="AH338" s="57"/>
      <c r="AI338" s="57">
        <v>150</v>
      </c>
      <c r="AJ338" s="57"/>
      <c r="AK338" s="57"/>
      <c r="AL338" s="57"/>
      <c r="AM338" s="57"/>
      <c r="AN338" s="57"/>
      <c r="AO338" s="57"/>
      <c r="AP338" s="57"/>
      <c r="AQ338" s="57"/>
      <c r="AR338" s="57"/>
      <c r="AS338" s="57"/>
      <c r="AT338" s="57"/>
      <c r="AU338" s="58">
        <f t="shared" si="5"/>
        <v>104.09971499999995</v>
      </c>
      <c r="AV338" s="58"/>
    </row>
    <row r="339" spans="1:48" ht="13.5" customHeight="1">
      <c r="A339" s="82">
        <v>337</v>
      </c>
      <c r="B339" s="85">
        <v>693</v>
      </c>
      <c r="C339" s="85" t="s">
        <v>38</v>
      </c>
      <c r="D339" s="175">
        <v>28.810000000000059</v>
      </c>
      <c r="F339" s="45">
        <v>400</v>
      </c>
      <c r="G339" s="45">
        <v>278.39999999999998</v>
      </c>
      <c r="H339" s="56">
        <v>153.81000000000006</v>
      </c>
      <c r="I339" s="56">
        <v>153.81000000000006</v>
      </c>
      <c r="J339" s="148">
        <v>0</v>
      </c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>
        <v>125</v>
      </c>
      <c r="AD339" s="57"/>
      <c r="AE339" s="57"/>
      <c r="AF339" s="57"/>
      <c r="AG339" s="57"/>
      <c r="AH339" s="57"/>
      <c r="AI339" s="57"/>
      <c r="AJ339" s="57"/>
      <c r="AK339" s="57"/>
      <c r="AL339" s="57"/>
      <c r="AM339" s="57"/>
      <c r="AN339" s="57"/>
      <c r="AO339" s="57"/>
      <c r="AP339" s="57"/>
      <c r="AQ339" s="57"/>
      <c r="AR339" s="57"/>
      <c r="AS339" s="57"/>
      <c r="AT339" s="57"/>
      <c r="AU339" s="58">
        <f t="shared" si="5"/>
        <v>28.810000000000059</v>
      </c>
      <c r="AV339" s="58"/>
    </row>
    <row r="340" spans="1:48" ht="13.5" customHeight="1">
      <c r="A340" s="84">
        <v>338</v>
      </c>
      <c r="B340" s="85">
        <v>699</v>
      </c>
      <c r="C340" s="85" t="s">
        <v>38</v>
      </c>
      <c r="D340" s="175">
        <v>-74</v>
      </c>
      <c r="F340" s="45">
        <v>560</v>
      </c>
      <c r="G340" s="45">
        <v>574.20000000000005</v>
      </c>
      <c r="H340" s="56">
        <v>-74</v>
      </c>
      <c r="I340" s="56">
        <v>-74</v>
      </c>
      <c r="J340" s="148">
        <v>0</v>
      </c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  <c r="AN340" s="57"/>
      <c r="AO340" s="57"/>
      <c r="AP340" s="57"/>
      <c r="AQ340" s="57"/>
      <c r="AR340" s="57"/>
      <c r="AS340" s="57"/>
      <c r="AT340" s="57"/>
      <c r="AU340" s="58">
        <f t="shared" si="5"/>
        <v>-74</v>
      </c>
      <c r="AV340" s="58"/>
    </row>
    <row r="341" spans="1:48" ht="13.5" customHeight="1">
      <c r="A341" s="84">
        <v>339</v>
      </c>
      <c r="B341" s="85">
        <v>707</v>
      </c>
      <c r="C341" s="85" t="s">
        <v>38</v>
      </c>
      <c r="D341" s="175">
        <v>0.50253500000002305</v>
      </c>
      <c r="F341" s="45">
        <v>160</v>
      </c>
      <c r="G341" s="45">
        <v>178.72636199999999</v>
      </c>
      <c r="H341" s="56">
        <v>120.50253500000002</v>
      </c>
      <c r="I341" s="56">
        <v>120.50253500000002</v>
      </c>
      <c r="J341" s="148">
        <v>0</v>
      </c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>
        <v>120</v>
      </c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7"/>
      <c r="AM341" s="57"/>
      <c r="AN341" s="57"/>
      <c r="AO341" s="57"/>
      <c r="AP341" s="57"/>
      <c r="AQ341" s="57"/>
      <c r="AR341" s="57"/>
      <c r="AS341" s="57"/>
      <c r="AT341" s="57"/>
      <c r="AU341" s="58">
        <f t="shared" si="5"/>
        <v>0.50253500000002305</v>
      </c>
      <c r="AV341" s="58"/>
    </row>
    <row r="342" spans="1:48" ht="13.5" customHeight="1">
      <c r="A342" s="82">
        <v>340</v>
      </c>
      <c r="B342" s="85">
        <v>708</v>
      </c>
      <c r="C342" s="85" t="s">
        <v>38</v>
      </c>
      <c r="D342" s="175">
        <v>63.36497374999999</v>
      </c>
      <c r="F342" s="45">
        <v>400</v>
      </c>
      <c r="G342" s="45">
        <v>258.89894999999996</v>
      </c>
      <c r="H342" s="56">
        <v>133.36497374999999</v>
      </c>
      <c r="I342" s="56">
        <v>133.36497374999999</v>
      </c>
      <c r="J342" s="148">
        <v>0</v>
      </c>
      <c r="K342" s="57">
        <v>40</v>
      </c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  <c r="AM342" s="57"/>
      <c r="AN342" s="57">
        <v>30</v>
      </c>
      <c r="AO342" s="57"/>
      <c r="AP342" s="57"/>
      <c r="AQ342" s="57"/>
      <c r="AR342" s="57"/>
      <c r="AS342" s="57"/>
      <c r="AT342" s="57"/>
      <c r="AU342" s="58">
        <f t="shared" si="5"/>
        <v>63.36497374999999</v>
      </c>
      <c r="AV342" s="58"/>
    </row>
    <row r="343" spans="1:48" ht="13.5" customHeight="1">
      <c r="A343" s="84">
        <v>341</v>
      </c>
      <c r="B343" s="85">
        <v>709</v>
      </c>
      <c r="C343" s="85" t="s">
        <v>38</v>
      </c>
      <c r="D343" s="175">
        <v>532</v>
      </c>
      <c r="H343" s="56"/>
      <c r="I343" s="56">
        <v>882</v>
      </c>
      <c r="J343" s="148">
        <v>0</v>
      </c>
      <c r="K343" s="57"/>
      <c r="L343" s="57"/>
      <c r="M343" s="57"/>
      <c r="N343" s="57"/>
      <c r="O343" s="57"/>
      <c r="P343" s="57">
        <v>100</v>
      </c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>
        <v>150</v>
      </c>
      <c r="AG343" s="57">
        <v>100</v>
      </c>
      <c r="AH343" s="57"/>
      <c r="AI343" s="57"/>
      <c r="AJ343" s="57"/>
      <c r="AK343" s="57"/>
      <c r="AL343" s="57"/>
      <c r="AM343" s="57"/>
      <c r="AN343" s="57"/>
      <c r="AO343" s="57"/>
      <c r="AP343" s="57"/>
      <c r="AQ343" s="57"/>
      <c r="AR343" s="57"/>
      <c r="AS343" s="57"/>
      <c r="AT343" s="57"/>
      <c r="AU343" s="58">
        <f t="shared" si="5"/>
        <v>532</v>
      </c>
      <c r="AV343" s="58"/>
    </row>
    <row r="344" spans="1:48" ht="13.5" customHeight="1">
      <c r="A344" s="82">
        <v>342</v>
      </c>
      <c r="B344" s="85">
        <v>712</v>
      </c>
      <c r="C344" s="85" t="s">
        <v>38</v>
      </c>
      <c r="D344" s="175">
        <v>202.684</v>
      </c>
      <c r="F344" s="45">
        <v>350</v>
      </c>
      <c r="G344" s="45">
        <v>131.37</v>
      </c>
      <c r="H344" s="56">
        <v>202.684</v>
      </c>
      <c r="I344" s="56">
        <v>202.684</v>
      </c>
      <c r="J344" s="148">
        <v>0</v>
      </c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  <c r="AM344" s="57"/>
      <c r="AN344" s="57"/>
      <c r="AO344" s="57"/>
      <c r="AP344" s="57"/>
      <c r="AQ344" s="57"/>
      <c r="AR344" s="57"/>
      <c r="AS344" s="57"/>
      <c r="AT344" s="57"/>
      <c r="AU344" s="58">
        <f t="shared" si="5"/>
        <v>202.684</v>
      </c>
      <c r="AV344" s="58"/>
    </row>
    <row r="345" spans="1:48" ht="13.5" customHeight="1">
      <c r="A345" s="84">
        <v>343</v>
      </c>
      <c r="B345" s="85">
        <v>713</v>
      </c>
      <c r="C345" s="85" t="s">
        <v>38</v>
      </c>
      <c r="D345" s="175">
        <v>317.65200000000004</v>
      </c>
      <c r="F345" s="45">
        <v>250</v>
      </c>
      <c r="G345" s="45">
        <v>344.35059999999999</v>
      </c>
      <c r="H345" s="56">
        <v>357.65200000000004</v>
      </c>
      <c r="I345" s="56">
        <v>357.65200000000004</v>
      </c>
      <c r="J345" s="148">
        <v>0</v>
      </c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>
        <v>40</v>
      </c>
      <c r="AH345" s="57"/>
      <c r="AI345" s="57"/>
      <c r="AJ345" s="57"/>
      <c r="AK345" s="57"/>
      <c r="AL345" s="57"/>
      <c r="AM345" s="57"/>
      <c r="AN345" s="57"/>
      <c r="AO345" s="57"/>
      <c r="AP345" s="57"/>
      <c r="AQ345" s="57"/>
      <c r="AR345" s="57"/>
      <c r="AS345" s="57"/>
      <c r="AT345" s="57"/>
      <c r="AU345" s="58">
        <f t="shared" si="5"/>
        <v>317.65200000000004</v>
      </c>
      <c r="AV345" s="58"/>
    </row>
    <row r="346" spans="1:48" ht="13.5" customHeight="1">
      <c r="A346" s="84">
        <v>344</v>
      </c>
      <c r="B346" s="85">
        <v>727</v>
      </c>
      <c r="C346" s="85" t="s">
        <v>38</v>
      </c>
      <c r="D346" s="175">
        <v>356.1</v>
      </c>
      <c r="F346" s="45">
        <v>400</v>
      </c>
      <c r="G346" s="45">
        <v>215.6275425</v>
      </c>
      <c r="H346" s="56">
        <v>506.1</v>
      </c>
      <c r="I346" s="56">
        <v>506.1</v>
      </c>
      <c r="J346" s="148">
        <v>0</v>
      </c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>
        <v>150</v>
      </c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119"/>
      <c r="AL346" s="165"/>
      <c r="AM346" s="165"/>
      <c r="AN346" s="165"/>
      <c r="AO346" s="165"/>
      <c r="AP346" s="165"/>
      <c r="AQ346" s="165"/>
      <c r="AR346" s="165"/>
      <c r="AS346" s="165"/>
      <c r="AT346" s="165"/>
      <c r="AU346" s="58">
        <f t="shared" si="5"/>
        <v>356.1</v>
      </c>
      <c r="AV346" s="58"/>
    </row>
    <row r="347" spans="1:48" ht="13.5" customHeight="1">
      <c r="A347" s="82">
        <v>345</v>
      </c>
      <c r="B347" s="85">
        <v>728</v>
      </c>
      <c r="C347" s="85" t="s">
        <v>38</v>
      </c>
      <c r="D347" s="175">
        <v>41.321057999999994</v>
      </c>
      <c r="F347" s="45">
        <v>882</v>
      </c>
      <c r="G347" s="45">
        <v>674.38049999999998</v>
      </c>
      <c r="H347" s="56">
        <v>41.321057999999994</v>
      </c>
      <c r="I347" s="56">
        <v>41.321057999999994</v>
      </c>
      <c r="J347" s="148">
        <v>0</v>
      </c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57"/>
      <c r="AM347" s="57"/>
      <c r="AN347" s="57"/>
      <c r="AO347" s="57"/>
      <c r="AP347" s="57"/>
      <c r="AQ347" s="57"/>
      <c r="AR347" s="57"/>
      <c r="AS347" s="57"/>
      <c r="AT347" s="57"/>
      <c r="AU347" s="58">
        <f t="shared" si="5"/>
        <v>41.321057999999994</v>
      </c>
      <c r="AV347" s="58"/>
    </row>
    <row r="348" spans="1:48" ht="13.5" customHeight="1">
      <c r="A348" s="84">
        <v>346</v>
      </c>
      <c r="B348" s="85">
        <v>738</v>
      </c>
      <c r="C348" s="85" t="s">
        <v>38</v>
      </c>
      <c r="D348" s="175">
        <v>-393.5</v>
      </c>
      <c r="H348" s="56"/>
      <c r="I348" s="56">
        <v>350</v>
      </c>
      <c r="J348" s="148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>
        <v>336.3</v>
      </c>
      <c r="Y348" s="57"/>
      <c r="Z348" s="57"/>
      <c r="AA348" s="57"/>
      <c r="AB348" s="57"/>
      <c r="AC348" s="57"/>
      <c r="AD348" s="57"/>
      <c r="AE348" s="57">
        <v>9</v>
      </c>
      <c r="AF348" s="57"/>
      <c r="AG348" s="57"/>
      <c r="AH348" s="57"/>
      <c r="AI348" s="57"/>
      <c r="AJ348" s="57"/>
      <c r="AK348" s="57">
        <v>60</v>
      </c>
      <c r="AL348" s="57">
        <v>150</v>
      </c>
      <c r="AM348" s="57"/>
      <c r="AN348" s="57"/>
      <c r="AO348" s="57"/>
      <c r="AP348" s="57"/>
      <c r="AQ348" s="57"/>
      <c r="AR348" s="57"/>
      <c r="AS348" s="57"/>
      <c r="AT348" s="57">
        <v>188.2</v>
      </c>
      <c r="AU348" s="58">
        <f t="shared" si="5"/>
        <v>-393.5</v>
      </c>
      <c r="AV348" s="58"/>
    </row>
    <row r="349" spans="1:48" ht="13.5" customHeight="1">
      <c r="A349" s="82">
        <v>347</v>
      </c>
      <c r="B349" s="85">
        <v>739</v>
      </c>
      <c r="C349" s="85" t="s">
        <v>38</v>
      </c>
      <c r="D349" s="175">
        <v>176.62970000000001</v>
      </c>
      <c r="F349" s="45">
        <v>250</v>
      </c>
      <c r="G349" s="45">
        <v>137.46</v>
      </c>
      <c r="H349" s="56">
        <v>236.62970000000001</v>
      </c>
      <c r="I349" s="56">
        <v>236.62970000000001</v>
      </c>
      <c r="J349" s="148">
        <v>0</v>
      </c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>
        <v>60</v>
      </c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  <c r="AK349" s="57"/>
      <c r="AL349" s="57"/>
      <c r="AM349" s="57"/>
      <c r="AN349" s="57"/>
      <c r="AO349" s="57"/>
      <c r="AP349" s="57"/>
      <c r="AQ349" s="57"/>
      <c r="AR349" s="57"/>
      <c r="AS349" s="57"/>
      <c r="AT349" s="57"/>
      <c r="AU349" s="58">
        <f t="shared" si="5"/>
        <v>176.62970000000001</v>
      </c>
      <c r="AV349" s="58"/>
    </row>
    <row r="350" spans="1:48" ht="13.5" customHeight="1">
      <c r="A350" s="84">
        <v>348</v>
      </c>
      <c r="B350" s="85">
        <v>740</v>
      </c>
      <c r="C350" s="85" t="s">
        <v>38</v>
      </c>
      <c r="D350" s="175">
        <v>31.560168000000004</v>
      </c>
      <c r="F350" s="45">
        <v>400</v>
      </c>
      <c r="G350" s="45">
        <v>435</v>
      </c>
      <c r="H350" s="56">
        <v>81.560168000000004</v>
      </c>
      <c r="I350" s="56">
        <v>81.560168000000004</v>
      </c>
      <c r="J350" s="148">
        <v>0</v>
      </c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57"/>
      <c r="AM350" s="57"/>
      <c r="AN350" s="57"/>
      <c r="AO350" s="57"/>
      <c r="AP350" s="57"/>
      <c r="AQ350" s="57"/>
      <c r="AR350" s="57"/>
      <c r="AS350" s="57"/>
      <c r="AT350" s="57">
        <v>50</v>
      </c>
      <c r="AU350" s="58">
        <f t="shared" si="5"/>
        <v>31.560168000000004</v>
      </c>
      <c r="AV350" s="58"/>
    </row>
    <row r="351" spans="1:48" ht="13.5" customHeight="1">
      <c r="A351" s="84">
        <v>349</v>
      </c>
      <c r="B351" s="85">
        <v>746</v>
      </c>
      <c r="C351" s="85" t="s">
        <v>38</v>
      </c>
      <c r="D351" s="175">
        <v>-32.927449999999965</v>
      </c>
      <c r="F351" s="45">
        <v>180</v>
      </c>
      <c r="G351" s="45">
        <v>152.25</v>
      </c>
      <c r="H351" s="56">
        <v>-2.9274499999999648</v>
      </c>
      <c r="I351" s="56">
        <v>-2.9274499999999648</v>
      </c>
      <c r="J351" s="148">
        <v>0</v>
      </c>
      <c r="K351" s="57"/>
      <c r="L351" s="57"/>
      <c r="M351" s="57"/>
      <c r="N351" s="57"/>
      <c r="O351" s="57"/>
      <c r="P351" s="57"/>
      <c r="Q351" s="57"/>
      <c r="R351" s="57"/>
      <c r="S351" s="57">
        <v>30</v>
      </c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/>
      <c r="AK351" s="57"/>
      <c r="AL351" s="57"/>
      <c r="AM351" s="57"/>
      <c r="AN351" s="57"/>
      <c r="AO351" s="57"/>
      <c r="AP351" s="57"/>
      <c r="AQ351" s="57"/>
      <c r="AR351" s="57"/>
      <c r="AS351" s="57"/>
      <c r="AT351" s="57"/>
      <c r="AU351" s="58">
        <f t="shared" si="5"/>
        <v>-32.927449999999965</v>
      </c>
      <c r="AV351" s="58"/>
    </row>
    <row r="352" spans="1:48" ht="13.5" customHeight="1">
      <c r="A352" s="82">
        <v>350</v>
      </c>
      <c r="B352" s="85">
        <v>748</v>
      </c>
      <c r="C352" s="85" t="s">
        <v>38</v>
      </c>
      <c r="D352" s="175">
        <v>822</v>
      </c>
      <c r="H352" s="56"/>
      <c r="I352" s="56">
        <v>882</v>
      </c>
      <c r="J352" s="148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>
        <v>60</v>
      </c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/>
      <c r="AK352" s="57"/>
      <c r="AL352" s="57"/>
      <c r="AM352" s="57"/>
      <c r="AN352" s="57"/>
      <c r="AO352" s="57"/>
      <c r="AP352" s="57"/>
      <c r="AQ352" s="57"/>
      <c r="AR352" s="57"/>
      <c r="AS352" s="57"/>
      <c r="AT352" s="57"/>
      <c r="AU352" s="58">
        <f t="shared" si="5"/>
        <v>822</v>
      </c>
      <c r="AV352" s="58"/>
    </row>
    <row r="353" spans="1:48" ht="13.5" customHeight="1">
      <c r="A353" s="84">
        <v>351</v>
      </c>
      <c r="B353" s="85">
        <v>750</v>
      </c>
      <c r="C353" s="85" t="s">
        <v>38</v>
      </c>
      <c r="D353" s="175">
        <v>-556.86200000000008</v>
      </c>
      <c r="F353" s="45">
        <v>400</v>
      </c>
      <c r="G353" s="45">
        <v>151.91678999999999</v>
      </c>
      <c r="H353" s="56">
        <v>-0.26200000000000045</v>
      </c>
      <c r="I353" s="56">
        <v>-0.26200000000000045</v>
      </c>
      <c r="J353" s="148">
        <v>0</v>
      </c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>
        <v>556.6</v>
      </c>
      <c r="AB353" s="57"/>
      <c r="AC353" s="57"/>
      <c r="AD353" s="57"/>
      <c r="AE353" s="57"/>
      <c r="AF353" s="57"/>
      <c r="AG353" s="57"/>
      <c r="AH353" s="57"/>
      <c r="AI353" s="57"/>
      <c r="AJ353" s="57"/>
      <c r="AK353" s="57"/>
      <c r="AL353" s="57"/>
      <c r="AM353" s="57"/>
      <c r="AN353" s="57"/>
      <c r="AO353" s="57"/>
      <c r="AP353" s="57"/>
      <c r="AQ353" s="57"/>
      <c r="AR353" s="57"/>
      <c r="AS353" s="57"/>
      <c r="AT353" s="57"/>
      <c r="AU353" s="58">
        <f t="shared" si="5"/>
        <v>-556.86200000000008</v>
      </c>
      <c r="AV353" s="58"/>
    </row>
    <row r="354" spans="1:48" ht="13.5" customHeight="1">
      <c r="A354" s="82">
        <v>352</v>
      </c>
      <c r="B354" s="85">
        <v>753</v>
      </c>
      <c r="C354" s="85" t="s">
        <v>38</v>
      </c>
      <c r="D354" s="175">
        <v>-50.639999999999873</v>
      </c>
      <c r="F354" s="45">
        <v>784</v>
      </c>
      <c r="G354" s="45">
        <v>577.48664250000002</v>
      </c>
      <c r="H354" s="56">
        <v>-50.639999999999873</v>
      </c>
      <c r="I354" s="56">
        <v>-50.639999999999873</v>
      </c>
      <c r="J354" s="148">
        <v>0</v>
      </c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/>
      <c r="AK354" s="57"/>
      <c r="AL354" s="57"/>
      <c r="AM354" s="57"/>
      <c r="AN354" s="57"/>
      <c r="AO354" s="57"/>
      <c r="AP354" s="57"/>
      <c r="AQ354" s="57"/>
      <c r="AR354" s="57"/>
      <c r="AS354" s="57"/>
      <c r="AT354" s="57"/>
      <c r="AU354" s="58">
        <f t="shared" si="5"/>
        <v>-50.639999999999873</v>
      </c>
      <c r="AV354" s="58"/>
    </row>
    <row r="355" spans="1:48" ht="13.5" customHeight="1">
      <c r="A355" s="84">
        <v>353</v>
      </c>
      <c r="B355" s="85">
        <v>758</v>
      </c>
      <c r="C355" s="85" t="s">
        <v>38</v>
      </c>
      <c r="D355" s="175">
        <v>125.435</v>
      </c>
      <c r="F355" s="45">
        <v>250</v>
      </c>
      <c r="G355" s="45">
        <v>202.71</v>
      </c>
      <c r="H355" s="56">
        <v>125.435</v>
      </c>
      <c r="I355" s="56">
        <v>125.435</v>
      </c>
      <c r="J355" s="148">
        <v>0</v>
      </c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/>
      <c r="AR355" s="57"/>
      <c r="AS355" s="57"/>
      <c r="AT355" s="57"/>
      <c r="AU355" s="58">
        <f t="shared" si="5"/>
        <v>125.435</v>
      </c>
      <c r="AV355" s="58"/>
    </row>
    <row r="356" spans="1:48" ht="13.5" customHeight="1">
      <c r="A356" s="84">
        <v>354</v>
      </c>
      <c r="B356" s="85">
        <v>769</v>
      </c>
      <c r="C356" s="85" t="s">
        <v>38</v>
      </c>
      <c r="D356" s="175">
        <v>-42.183260000000018</v>
      </c>
      <c r="F356" s="45">
        <v>560</v>
      </c>
      <c r="G356" s="45">
        <v>378.43260000000004</v>
      </c>
      <c r="H356" s="56">
        <v>12.816739999999982</v>
      </c>
      <c r="I356" s="56">
        <v>12.816739999999982</v>
      </c>
      <c r="J356" s="148">
        <v>0</v>
      </c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>
        <v>30</v>
      </c>
      <c r="AN356" s="57">
        <v>25</v>
      </c>
      <c r="AO356" s="57"/>
      <c r="AP356" s="57"/>
      <c r="AQ356" s="57"/>
      <c r="AR356" s="57"/>
      <c r="AS356" s="57"/>
      <c r="AT356" s="57"/>
      <c r="AU356" s="58">
        <f t="shared" si="5"/>
        <v>-42.183260000000018</v>
      </c>
      <c r="AV356" s="58"/>
    </row>
    <row r="357" spans="1:48" ht="13.5" customHeight="1">
      <c r="A357" s="82">
        <v>355</v>
      </c>
      <c r="B357" s="85">
        <v>775</v>
      </c>
      <c r="C357" s="85" t="s">
        <v>38</v>
      </c>
      <c r="D357" s="175">
        <v>-1077.7220000000002</v>
      </c>
      <c r="F357" s="45">
        <v>560</v>
      </c>
      <c r="G357" s="45">
        <v>571.88580000000002</v>
      </c>
      <c r="H357" s="56">
        <v>-50.342000000000212</v>
      </c>
      <c r="I357" s="56">
        <v>-50.342000000000212</v>
      </c>
      <c r="J357" s="148">
        <v>0</v>
      </c>
      <c r="K357" s="57"/>
      <c r="L357" s="57">
        <v>400</v>
      </c>
      <c r="M357" s="57"/>
      <c r="N357" s="57"/>
      <c r="O357" s="57"/>
      <c r="P357" s="57"/>
      <c r="Q357" s="57"/>
      <c r="R357" s="57"/>
      <c r="S357" s="57"/>
      <c r="T357" s="57">
        <v>443.38</v>
      </c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57"/>
      <c r="AL357" s="57"/>
      <c r="AM357" s="57"/>
      <c r="AN357" s="57"/>
      <c r="AO357" s="57"/>
      <c r="AP357" s="57"/>
      <c r="AQ357" s="57"/>
      <c r="AR357" s="57"/>
      <c r="AS357" s="57">
        <v>184</v>
      </c>
      <c r="AT357" s="57"/>
      <c r="AU357" s="58">
        <f t="shared" si="5"/>
        <v>-1077.7220000000002</v>
      </c>
      <c r="AV357" s="58"/>
    </row>
    <row r="358" spans="1:48" ht="13.5" customHeight="1">
      <c r="A358" s="84">
        <v>356</v>
      </c>
      <c r="B358" s="85">
        <v>781</v>
      </c>
      <c r="C358" s="85" t="s">
        <v>38</v>
      </c>
      <c r="D358" s="175">
        <v>-180.29719999999998</v>
      </c>
      <c r="F358" s="45">
        <v>448</v>
      </c>
      <c r="G358" s="45">
        <v>482.18010000000004</v>
      </c>
      <c r="H358" s="56">
        <v>-80.297199999999975</v>
      </c>
      <c r="I358" s="56">
        <v>-80.297199999999975</v>
      </c>
      <c r="J358" s="148">
        <v>0</v>
      </c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>
        <v>100</v>
      </c>
      <c r="AJ358" s="57"/>
      <c r="AK358" s="57"/>
      <c r="AL358" s="57"/>
      <c r="AM358" s="57"/>
      <c r="AN358" s="57"/>
      <c r="AO358" s="57"/>
      <c r="AP358" s="57"/>
      <c r="AQ358" s="57"/>
      <c r="AR358" s="57"/>
      <c r="AS358" s="57"/>
      <c r="AT358" s="57"/>
      <c r="AU358" s="58">
        <f t="shared" si="5"/>
        <v>-180.29719999999998</v>
      </c>
      <c r="AV358" s="58"/>
    </row>
    <row r="359" spans="1:48" ht="13.5" customHeight="1">
      <c r="A359" s="82">
        <v>357</v>
      </c>
      <c r="B359" s="85">
        <v>782</v>
      </c>
      <c r="C359" s="85" t="s">
        <v>38</v>
      </c>
      <c r="D359" s="175">
        <v>-27.849999999999994</v>
      </c>
      <c r="F359" s="45">
        <v>560</v>
      </c>
      <c r="G359" s="45">
        <v>479.08290000000005</v>
      </c>
      <c r="H359" s="56">
        <v>-27.849999999999994</v>
      </c>
      <c r="I359" s="56">
        <v>-27.849999999999994</v>
      </c>
      <c r="J359" s="148">
        <v>0</v>
      </c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  <c r="AK359" s="57"/>
      <c r="AL359" s="57"/>
      <c r="AM359" s="57"/>
      <c r="AN359" s="57"/>
      <c r="AO359" s="57"/>
      <c r="AP359" s="57"/>
      <c r="AQ359" s="57"/>
      <c r="AR359" s="57"/>
      <c r="AS359" s="57"/>
      <c r="AT359" s="57"/>
      <c r="AU359" s="58">
        <f t="shared" si="5"/>
        <v>-27.849999999999994</v>
      </c>
      <c r="AV359" s="58"/>
    </row>
    <row r="360" spans="1:48" ht="13.5" customHeight="1">
      <c r="A360" s="84">
        <v>358</v>
      </c>
      <c r="B360" s="85">
        <v>783</v>
      </c>
      <c r="C360" s="85" t="s">
        <v>38</v>
      </c>
      <c r="D360" s="175">
        <v>-240.27908000000002</v>
      </c>
      <c r="F360" s="45">
        <v>560</v>
      </c>
      <c r="G360" s="45">
        <v>551.08583999999996</v>
      </c>
      <c r="H360" s="56">
        <v>381.72091999999998</v>
      </c>
      <c r="I360" s="56">
        <v>381.72091999999998</v>
      </c>
      <c r="J360" s="148">
        <v>0</v>
      </c>
      <c r="K360" s="57"/>
      <c r="L360" s="57"/>
      <c r="M360" s="57"/>
      <c r="N360" s="57"/>
      <c r="O360" s="57"/>
      <c r="P360" s="57"/>
      <c r="Q360" s="57"/>
      <c r="R360" s="57">
        <v>160</v>
      </c>
      <c r="S360" s="57"/>
      <c r="T360" s="57"/>
      <c r="U360" s="57"/>
      <c r="V360" s="57"/>
      <c r="W360" s="57"/>
      <c r="X360" s="57"/>
      <c r="Y360" s="57">
        <v>220</v>
      </c>
      <c r="Z360" s="57"/>
      <c r="AA360" s="57">
        <v>242</v>
      </c>
      <c r="AB360" s="57"/>
      <c r="AC360" s="57"/>
      <c r="AD360" s="57"/>
      <c r="AE360" s="57"/>
      <c r="AF360" s="57"/>
      <c r="AG360" s="57"/>
      <c r="AH360" s="57"/>
      <c r="AI360" s="57"/>
      <c r="AJ360" s="57"/>
      <c r="AK360" s="57"/>
      <c r="AL360" s="57"/>
      <c r="AM360" s="57"/>
      <c r="AN360" s="57"/>
      <c r="AO360" s="57"/>
      <c r="AP360" s="57"/>
      <c r="AQ360" s="57"/>
      <c r="AR360" s="57"/>
      <c r="AS360" s="57"/>
      <c r="AT360" s="57"/>
      <c r="AU360" s="58">
        <f t="shared" si="5"/>
        <v>-240.27908000000002</v>
      </c>
      <c r="AV360" s="58"/>
    </row>
    <row r="361" spans="1:48" ht="13.5" customHeight="1">
      <c r="A361" s="84">
        <v>359</v>
      </c>
      <c r="B361" s="85">
        <v>816</v>
      </c>
      <c r="C361" s="85" t="s">
        <v>38</v>
      </c>
      <c r="D361" s="175">
        <v>294.51800000000003</v>
      </c>
      <c r="F361" s="45">
        <v>320</v>
      </c>
      <c r="G361" s="45">
        <v>112.53058500000002</v>
      </c>
      <c r="H361" s="56">
        <v>410.71800000000002</v>
      </c>
      <c r="I361" s="56">
        <v>410.71800000000002</v>
      </c>
      <c r="J361" s="148">
        <v>0</v>
      </c>
      <c r="K361" s="57"/>
      <c r="L361" s="57"/>
      <c r="M361" s="57"/>
      <c r="N361" s="57"/>
      <c r="O361" s="57">
        <v>56.2</v>
      </c>
      <c r="P361" s="57">
        <v>60</v>
      </c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  <c r="AL361" s="57"/>
      <c r="AM361" s="57"/>
      <c r="AN361" s="57"/>
      <c r="AO361" s="57"/>
      <c r="AP361" s="57"/>
      <c r="AQ361" s="57"/>
      <c r="AR361" s="57"/>
      <c r="AS361" s="57"/>
      <c r="AT361" s="57"/>
      <c r="AU361" s="58">
        <f t="shared" si="5"/>
        <v>294.51800000000003</v>
      </c>
      <c r="AV361" s="58"/>
    </row>
    <row r="362" spans="1:48" ht="13.5" customHeight="1">
      <c r="A362" s="82">
        <v>360</v>
      </c>
      <c r="B362" s="85">
        <v>817</v>
      </c>
      <c r="C362" s="85" t="s">
        <v>38</v>
      </c>
      <c r="D362" s="175">
        <v>19.668000000000006</v>
      </c>
      <c r="F362" s="45">
        <v>560</v>
      </c>
      <c r="G362" s="45">
        <v>336.9520875</v>
      </c>
      <c r="H362" s="56">
        <v>69.668000000000006</v>
      </c>
      <c r="I362" s="56">
        <v>69.668000000000006</v>
      </c>
      <c r="J362" s="148">
        <v>0</v>
      </c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>
        <v>50</v>
      </c>
      <c r="AG362" s="57"/>
      <c r="AH362" s="57"/>
      <c r="AI362" s="57"/>
      <c r="AJ362" s="57"/>
      <c r="AK362" s="57"/>
      <c r="AL362" s="57"/>
      <c r="AM362" s="57"/>
      <c r="AN362" s="57"/>
      <c r="AO362" s="57"/>
      <c r="AP362" s="57"/>
      <c r="AQ362" s="57"/>
      <c r="AR362" s="57"/>
      <c r="AS362" s="57"/>
      <c r="AT362" s="57"/>
      <c r="AU362" s="58">
        <f t="shared" si="5"/>
        <v>19.668000000000006</v>
      </c>
      <c r="AV362" s="58"/>
    </row>
    <row r="363" spans="1:48" ht="13.5" customHeight="1">
      <c r="A363" s="84">
        <v>361</v>
      </c>
      <c r="B363" s="85">
        <v>818</v>
      </c>
      <c r="C363" s="85" t="s">
        <v>38</v>
      </c>
      <c r="D363" s="175">
        <v>-107.11000000000001</v>
      </c>
      <c r="F363" s="45">
        <v>250</v>
      </c>
      <c r="G363" s="45">
        <v>187.86431999999999</v>
      </c>
      <c r="H363" s="56">
        <v>42.889999999999986</v>
      </c>
      <c r="I363" s="56">
        <v>42.889999999999986</v>
      </c>
      <c r="J363" s="148">
        <v>0</v>
      </c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>
        <v>150</v>
      </c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  <c r="AL363" s="57"/>
      <c r="AM363" s="57"/>
      <c r="AN363" s="57"/>
      <c r="AO363" s="57"/>
      <c r="AP363" s="57"/>
      <c r="AQ363" s="57"/>
      <c r="AR363" s="57"/>
      <c r="AS363" s="57"/>
      <c r="AT363" s="57"/>
      <c r="AU363" s="58">
        <f t="shared" si="5"/>
        <v>-107.11000000000001</v>
      </c>
      <c r="AV363" s="58"/>
    </row>
    <row r="364" spans="1:48" ht="13.5" customHeight="1">
      <c r="A364" s="82">
        <v>362</v>
      </c>
      <c r="B364" s="85">
        <v>826</v>
      </c>
      <c r="C364" s="85" t="s">
        <v>38</v>
      </c>
      <c r="D364" s="175">
        <v>-274.26226000000008</v>
      </c>
      <c r="F364" s="45">
        <v>560</v>
      </c>
      <c r="G364" s="45">
        <v>609.50000000000011</v>
      </c>
      <c r="H364" s="56">
        <v>5.737739999999917</v>
      </c>
      <c r="I364" s="56">
        <v>5.737739999999917</v>
      </c>
      <c r="J364" s="148">
        <v>0</v>
      </c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>
        <v>40</v>
      </c>
      <c r="AH364" s="57"/>
      <c r="AI364" s="57">
        <v>240</v>
      </c>
      <c r="AJ364" s="57"/>
      <c r="AK364" s="57"/>
      <c r="AL364" s="57"/>
      <c r="AM364" s="57"/>
      <c r="AN364" s="57"/>
      <c r="AO364" s="57"/>
      <c r="AP364" s="57"/>
      <c r="AQ364" s="57"/>
      <c r="AR364" s="57"/>
      <c r="AS364" s="57"/>
      <c r="AT364" s="57"/>
      <c r="AU364" s="58">
        <f t="shared" si="5"/>
        <v>-274.26226000000008</v>
      </c>
      <c r="AV364" s="58"/>
    </row>
    <row r="365" spans="1:48" ht="13.5" customHeight="1">
      <c r="A365" s="84">
        <v>363</v>
      </c>
      <c r="B365" s="85">
        <v>828</v>
      </c>
      <c r="C365" s="85" t="s">
        <v>38</v>
      </c>
      <c r="D365" s="175">
        <v>-250.81200000000001</v>
      </c>
      <c r="F365" s="45">
        <v>630</v>
      </c>
      <c r="G365" s="45">
        <v>330.86099999999999</v>
      </c>
      <c r="H365" s="56">
        <v>-45.312000000000012</v>
      </c>
      <c r="I365" s="56">
        <v>-45.312000000000012</v>
      </c>
      <c r="J365" s="149">
        <v>0</v>
      </c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>
        <v>61.5</v>
      </c>
      <c r="AG365" s="57"/>
      <c r="AH365" s="57"/>
      <c r="AI365" s="57"/>
      <c r="AJ365" s="57"/>
      <c r="AK365" s="57">
        <v>144</v>
      </c>
      <c r="AL365" s="57"/>
      <c r="AM365" s="57"/>
      <c r="AN365" s="57"/>
      <c r="AO365" s="57"/>
      <c r="AP365" s="57"/>
      <c r="AQ365" s="57"/>
      <c r="AR365" s="57"/>
      <c r="AS365" s="57"/>
      <c r="AT365" s="57"/>
      <c r="AU365" s="58">
        <f t="shared" si="5"/>
        <v>-250.81200000000001</v>
      </c>
      <c r="AV365" s="58"/>
    </row>
    <row r="366" spans="1:48" ht="13.5" customHeight="1">
      <c r="A366" s="84">
        <v>364</v>
      </c>
      <c r="B366" s="85">
        <v>829</v>
      </c>
      <c r="C366" s="85" t="s">
        <v>38</v>
      </c>
      <c r="D366" s="175">
        <v>106.596</v>
      </c>
      <c r="F366" s="45">
        <v>882</v>
      </c>
      <c r="G366" s="45">
        <v>774.88900000000001</v>
      </c>
      <c r="H366" s="56">
        <v>106.596</v>
      </c>
      <c r="I366" s="56">
        <v>106.596</v>
      </c>
      <c r="J366" s="148">
        <v>0</v>
      </c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  <c r="AK366" s="57"/>
      <c r="AL366" s="57"/>
      <c r="AM366" s="57"/>
      <c r="AN366" s="57"/>
      <c r="AO366" s="57"/>
      <c r="AP366" s="57"/>
      <c r="AQ366" s="57"/>
      <c r="AR366" s="57"/>
      <c r="AS366" s="57"/>
      <c r="AT366" s="57"/>
      <c r="AU366" s="58">
        <f t="shared" si="5"/>
        <v>106.596</v>
      </c>
      <c r="AV366" s="58"/>
    </row>
    <row r="367" spans="1:48" ht="13.5" customHeight="1">
      <c r="A367" s="82">
        <v>365</v>
      </c>
      <c r="B367" s="85">
        <v>833</v>
      </c>
      <c r="C367" s="85" t="s">
        <v>38</v>
      </c>
      <c r="D367" s="175">
        <v>367.39800000000002</v>
      </c>
      <c r="F367" s="45">
        <v>250</v>
      </c>
      <c r="G367" s="45">
        <v>217.50661200000002</v>
      </c>
      <c r="H367" s="56">
        <v>517.39800000000002</v>
      </c>
      <c r="I367" s="56">
        <v>517.39800000000002</v>
      </c>
      <c r="J367" s="148">
        <v>0</v>
      </c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57">
        <v>150</v>
      </c>
      <c r="AM367" s="57"/>
      <c r="AN367" s="57"/>
      <c r="AO367" s="57"/>
      <c r="AP367" s="57"/>
      <c r="AQ367" s="57"/>
      <c r="AR367" s="57"/>
      <c r="AS367" s="57"/>
      <c r="AT367" s="57"/>
      <c r="AU367" s="58">
        <f t="shared" si="5"/>
        <v>367.39800000000002</v>
      </c>
      <c r="AV367" s="58"/>
    </row>
    <row r="368" spans="1:48" ht="13.5" customHeight="1">
      <c r="A368" s="84">
        <v>366</v>
      </c>
      <c r="B368" s="85">
        <v>838</v>
      </c>
      <c r="C368" s="85" t="s">
        <v>38</v>
      </c>
      <c r="D368" s="175">
        <v>-17.524999999999977</v>
      </c>
      <c r="F368" s="45">
        <v>400</v>
      </c>
      <c r="G368" s="45">
        <v>313.2</v>
      </c>
      <c r="H368" s="56">
        <v>-17.524999999999977</v>
      </c>
      <c r="I368" s="56">
        <v>-17.524999999999977</v>
      </c>
      <c r="J368" s="148">
        <v>0</v>
      </c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57"/>
      <c r="AL368" s="57"/>
      <c r="AM368" s="57"/>
      <c r="AN368" s="57"/>
      <c r="AO368" s="57"/>
      <c r="AP368" s="57"/>
      <c r="AQ368" s="57"/>
      <c r="AR368" s="57"/>
      <c r="AS368" s="57"/>
      <c r="AT368" s="57"/>
      <c r="AU368" s="58">
        <f t="shared" si="5"/>
        <v>-17.524999999999977</v>
      </c>
      <c r="AV368" s="58"/>
    </row>
    <row r="369" spans="1:48" ht="13.5" customHeight="1">
      <c r="A369" s="82">
        <v>367</v>
      </c>
      <c r="B369" s="85">
        <v>841</v>
      </c>
      <c r="C369" s="85" t="s">
        <v>38</v>
      </c>
      <c r="D369" s="175">
        <v>155.96352999999993</v>
      </c>
      <c r="F369" s="45">
        <v>560</v>
      </c>
      <c r="G369" s="45">
        <v>549.93135000000007</v>
      </c>
      <c r="H369" s="56">
        <v>175.96352999999993</v>
      </c>
      <c r="I369" s="56">
        <v>175.96352999999993</v>
      </c>
      <c r="J369" s="148">
        <v>0</v>
      </c>
      <c r="K369" s="57"/>
      <c r="L369" s="57"/>
      <c r="M369" s="57"/>
      <c r="N369" s="57"/>
      <c r="O369" s="57"/>
      <c r="P369" s="57">
        <v>20</v>
      </c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  <c r="AL369" s="57"/>
      <c r="AM369" s="57"/>
      <c r="AN369" s="57"/>
      <c r="AO369" s="57"/>
      <c r="AP369" s="57"/>
      <c r="AQ369" s="57"/>
      <c r="AR369" s="57"/>
      <c r="AS369" s="57"/>
      <c r="AT369" s="57"/>
      <c r="AU369" s="58">
        <f t="shared" si="5"/>
        <v>155.96352999999993</v>
      </c>
      <c r="AV369" s="58"/>
    </row>
    <row r="370" spans="1:48" ht="13.5" customHeight="1">
      <c r="A370" s="84">
        <v>368</v>
      </c>
      <c r="B370" s="85">
        <v>844</v>
      </c>
      <c r="C370" s="85" t="s">
        <v>38</v>
      </c>
      <c r="D370" s="175">
        <v>-270.27</v>
      </c>
      <c r="H370" s="56"/>
      <c r="I370" s="56">
        <v>504</v>
      </c>
      <c r="J370" s="151">
        <v>774.27</v>
      </c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>
        <v>0</v>
      </c>
      <c r="AC370" s="57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  <c r="AN370" s="57"/>
      <c r="AO370" s="57"/>
      <c r="AP370" s="57"/>
      <c r="AQ370" s="57"/>
      <c r="AR370" s="57"/>
      <c r="AS370" s="57"/>
      <c r="AT370" s="57"/>
      <c r="AU370" s="58">
        <f t="shared" si="5"/>
        <v>-270.27</v>
      </c>
      <c r="AV370" s="58"/>
    </row>
    <row r="371" spans="1:48" ht="13.5" customHeight="1">
      <c r="A371" s="84">
        <v>369</v>
      </c>
      <c r="B371" s="85">
        <v>847</v>
      </c>
      <c r="C371" s="85" t="s">
        <v>38</v>
      </c>
      <c r="D371" s="175">
        <v>119.52799999999996</v>
      </c>
      <c r="F371" s="45">
        <v>630</v>
      </c>
      <c r="G371" s="45">
        <v>441.30275849999998</v>
      </c>
      <c r="H371" s="56">
        <v>209.52799999999996</v>
      </c>
      <c r="I371" s="56">
        <v>209.52799999999996</v>
      </c>
      <c r="J371" s="148">
        <v>0</v>
      </c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>
        <v>90</v>
      </c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  <c r="AL371" s="57"/>
      <c r="AM371" s="57"/>
      <c r="AN371" s="57"/>
      <c r="AO371" s="57"/>
      <c r="AP371" s="57"/>
      <c r="AQ371" s="57"/>
      <c r="AR371" s="57"/>
      <c r="AS371" s="57"/>
      <c r="AT371" s="57"/>
      <c r="AU371" s="58">
        <f t="shared" si="5"/>
        <v>119.52799999999996</v>
      </c>
      <c r="AV371" s="58"/>
    </row>
    <row r="372" spans="1:48" ht="13.5" customHeight="1">
      <c r="A372" s="82">
        <v>370</v>
      </c>
      <c r="B372" s="85">
        <v>848</v>
      </c>
      <c r="C372" s="85" t="s">
        <v>38</v>
      </c>
      <c r="D372" s="175">
        <v>-820.81999999999994</v>
      </c>
      <c r="F372" s="45">
        <v>448</v>
      </c>
      <c r="G372" s="45">
        <v>508.24530000000004</v>
      </c>
      <c r="H372" s="56">
        <v>137.18</v>
      </c>
      <c r="I372" s="56">
        <v>137.18</v>
      </c>
      <c r="J372" s="152">
        <v>0</v>
      </c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>
        <v>206</v>
      </c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57"/>
      <c r="AM372" s="57"/>
      <c r="AN372" s="57">
        <v>276</v>
      </c>
      <c r="AO372" s="57"/>
      <c r="AP372" s="57"/>
      <c r="AQ372" s="57"/>
      <c r="AR372" s="57">
        <v>476</v>
      </c>
      <c r="AS372" s="57"/>
      <c r="AT372" s="57"/>
      <c r="AU372" s="58">
        <f t="shared" si="5"/>
        <v>-820.81999999999994</v>
      </c>
      <c r="AV372" s="58"/>
    </row>
    <row r="373" spans="1:48" ht="13.5" customHeight="1">
      <c r="A373" s="84">
        <v>371</v>
      </c>
      <c r="B373" s="85">
        <v>849</v>
      </c>
      <c r="C373" s="85" t="s">
        <v>38</v>
      </c>
      <c r="D373" s="175">
        <v>193.70491250000003</v>
      </c>
      <c r="F373" s="45">
        <v>560</v>
      </c>
      <c r="G373" s="45">
        <v>588</v>
      </c>
      <c r="H373" s="56">
        <v>193.70491250000003</v>
      </c>
      <c r="I373" s="56">
        <v>193.70491250000003</v>
      </c>
      <c r="J373" s="148">
        <v>0</v>
      </c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  <c r="AL373" s="57"/>
      <c r="AM373" s="57"/>
      <c r="AN373" s="57"/>
      <c r="AO373" s="57"/>
      <c r="AP373" s="57"/>
      <c r="AQ373" s="57"/>
      <c r="AR373" s="57"/>
      <c r="AS373" s="57"/>
      <c r="AT373" s="57"/>
      <c r="AU373" s="58">
        <f t="shared" si="5"/>
        <v>193.70491250000003</v>
      </c>
      <c r="AV373" s="58"/>
    </row>
    <row r="374" spans="1:48" ht="13.5" customHeight="1">
      <c r="A374" s="82">
        <v>372</v>
      </c>
      <c r="B374" s="85">
        <v>858</v>
      </c>
      <c r="C374" s="85" t="s">
        <v>38</v>
      </c>
      <c r="D374" s="175">
        <v>21.040000000000006</v>
      </c>
      <c r="F374" s="45">
        <v>560</v>
      </c>
      <c r="G374" s="45">
        <v>574.5748000000001</v>
      </c>
      <c r="H374" s="56">
        <v>66.040000000000006</v>
      </c>
      <c r="I374" s="56">
        <v>66.040000000000006</v>
      </c>
      <c r="J374" s="148">
        <v>0</v>
      </c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  <c r="AJ374" s="57"/>
      <c r="AK374" s="57"/>
      <c r="AL374" s="57"/>
      <c r="AM374" s="57">
        <v>45</v>
      </c>
      <c r="AN374" s="57"/>
      <c r="AO374" s="57"/>
      <c r="AP374" s="57"/>
      <c r="AQ374" s="57"/>
      <c r="AR374" s="57"/>
      <c r="AS374" s="57"/>
      <c r="AT374" s="57"/>
      <c r="AU374" s="58">
        <f t="shared" si="5"/>
        <v>21.040000000000006</v>
      </c>
      <c r="AV374" s="58"/>
    </row>
    <row r="375" spans="1:48" ht="13.5" customHeight="1">
      <c r="A375" s="84">
        <v>373</v>
      </c>
      <c r="B375" s="85">
        <v>862</v>
      </c>
      <c r="C375" s="85" t="s">
        <v>38</v>
      </c>
      <c r="D375" s="175">
        <v>45.661360000000002</v>
      </c>
      <c r="F375" s="45">
        <v>320</v>
      </c>
      <c r="G375" s="45">
        <v>284.18550000000005</v>
      </c>
      <c r="H375" s="56">
        <v>45.661360000000002</v>
      </c>
      <c r="I375" s="56">
        <v>45.661360000000002</v>
      </c>
      <c r="J375" s="148">
        <v>0</v>
      </c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  <c r="AJ375" s="57"/>
      <c r="AK375" s="57"/>
      <c r="AL375" s="57"/>
      <c r="AM375" s="57"/>
      <c r="AN375" s="57"/>
      <c r="AO375" s="57"/>
      <c r="AP375" s="57"/>
      <c r="AQ375" s="57"/>
      <c r="AR375" s="57"/>
      <c r="AS375" s="57"/>
      <c r="AT375" s="57"/>
      <c r="AU375" s="58">
        <f t="shared" si="5"/>
        <v>45.661360000000002</v>
      </c>
      <c r="AV375" s="58"/>
    </row>
    <row r="376" spans="1:48" ht="13.5" customHeight="1">
      <c r="A376" s="84">
        <v>374</v>
      </c>
      <c r="B376" s="85">
        <v>864</v>
      </c>
      <c r="C376" s="85" t="s">
        <v>38</v>
      </c>
      <c r="D376" s="175">
        <v>-251.20000000000002</v>
      </c>
      <c r="F376" s="45">
        <v>400</v>
      </c>
      <c r="G376" s="45">
        <v>297.71573999999998</v>
      </c>
      <c r="H376" s="56">
        <v>-101.20000000000002</v>
      </c>
      <c r="I376" s="56">
        <v>-101.20000000000002</v>
      </c>
      <c r="J376" s="148">
        <v>0</v>
      </c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  <c r="AJ376" s="57"/>
      <c r="AK376" s="57"/>
      <c r="AL376" s="57"/>
      <c r="AM376" s="57"/>
      <c r="AN376" s="57"/>
      <c r="AO376" s="57"/>
      <c r="AP376" s="57"/>
      <c r="AQ376" s="57"/>
      <c r="AR376" s="57"/>
      <c r="AS376" s="57"/>
      <c r="AT376" s="57">
        <v>150</v>
      </c>
      <c r="AU376" s="58">
        <f t="shared" si="5"/>
        <v>-251.20000000000002</v>
      </c>
      <c r="AV376" s="58"/>
    </row>
    <row r="377" spans="1:48" ht="13.5" customHeight="1">
      <c r="A377" s="82">
        <v>375</v>
      </c>
      <c r="B377" s="85">
        <v>866</v>
      </c>
      <c r="C377" s="85" t="s">
        <v>38</v>
      </c>
      <c r="D377" s="175">
        <v>78.308800000000019</v>
      </c>
      <c r="F377" s="45">
        <v>250</v>
      </c>
      <c r="G377" s="45">
        <v>189.05100000000002</v>
      </c>
      <c r="H377" s="56">
        <v>78.308800000000019</v>
      </c>
      <c r="I377" s="56">
        <v>78.308800000000019</v>
      </c>
      <c r="J377" s="148">
        <v>0</v>
      </c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/>
      <c r="AK377" s="57"/>
      <c r="AL377" s="57"/>
      <c r="AM377" s="57"/>
      <c r="AN377" s="57"/>
      <c r="AO377" s="57"/>
      <c r="AP377" s="57"/>
      <c r="AQ377" s="57"/>
      <c r="AR377" s="57"/>
      <c r="AS377" s="57"/>
      <c r="AT377" s="57"/>
      <c r="AU377" s="58">
        <f t="shared" si="5"/>
        <v>78.308800000000019</v>
      </c>
      <c r="AV377" s="58"/>
    </row>
    <row r="378" spans="1:48" ht="13.5" customHeight="1">
      <c r="A378" s="84">
        <v>376</v>
      </c>
      <c r="B378" s="85">
        <v>870</v>
      </c>
      <c r="C378" s="85" t="s">
        <v>38</v>
      </c>
      <c r="D378" s="175">
        <v>-94</v>
      </c>
      <c r="F378" s="45">
        <v>400</v>
      </c>
      <c r="G378" s="45">
        <v>247.10609999999997</v>
      </c>
      <c r="H378" s="56">
        <v>-72</v>
      </c>
      <c r="I378" s="56">
        <v>-72</v>
      </c>
      <c r="J378" s="148">
        <v>0</v>
      </c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  <c r="AH378" s="57"/>
      <c r="AI378" s="57">
        <v>22</v>
      </c>
      <c r="AJ378" s="57"/>
      <c r="AK378" s="57"/>
      <c r="AL378" s="57"/>
      <c r="AM378" s="57"/>
      <c r="AN378" s="57"/>
      <c r="AO378" s="57"/>
      <c r="AP378" s="57"/>
      <c r="AQ378" s="57"/>
      <c r="AR378" s="57"/>
      <c r="AS378" s="57"/>
      <c r="AT378" s="57"/>
      <c r="AU378" s="58">
        <f t="shared" si="5"/>
        <v>-94</v>
      </c>
      <c r="AV378" s="58"/>
    </row>
    <row r="379" spans="1:48" ht="13.5" customHeight="1">
      <c r="A379" s="82">
        <v>377</v>
      </c>
      <c r="B379" s="85">
        <v>871</v>
      </c>
      <c r="C379" s="85" t="s">
        <v>38</v>
      </c>
      <c r="D379" s="175">
        <v>-78.277580000000171</v>
      </c>
      <c r="F379" s="45">
        <v>160</v>
      </c>
      <c r="G379" s="45">
        <v>96.995864999999995</v>
      </c>
      <c r="H379" s="56">
        <v>-49.277580000000171</v>
      </c>
      <c r="I379" s="56">
        <v>-49.277580000000171</v>
      </c>
      <c r="J379" s="148">
        <v>0</v>
      </c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>
        <v>29</v>
      </c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  <c r="AJ379" s="57"/>
      <c r="AK379" s="57"/>
      <c r="AL379" s="57"/>
      <c r="AM379" s="57"/>
      <c r="AN379" s="57"/>
      <c r="AO379" s="57"/>
      <c r="AP379" s="57"/>
      <c r="AQ379" s="57"/>
      <c r="AR379" s="57"/>
      <c r="AS379" s="57"/>
      <c r="AT379" s="57"/>
      <c r="AU379" s="58">
        <f t="shared" si="5"/>
        <v>-78.277580000000171</v>
      </c>
      <c r="AV379" s="58"/>
    </row>
    <row r="380" spans="1:48" ht="13.5" customHeight="1">
      <c r="A380" s="84">
        <v>378</v>
      </c>
      <c r="B380" s="85">
        <v>873</v>
      </c>
      <c r="C380" s="85" t="s">
        <v>38</v>
      </c>
      <c r="D380" s="175">
        <v>-24.851499999999987</v>
      </c>
      <c r="F380" s="45">
        <v>320</v>
      </c>
      <c r="G380" s="45">
        <v>215.20493999999999</v>
      </c>
      <c r="H380" s="56">
        <v>175.14850000000001</v>
      </c>
      <c r="I380" s="56">
        <v>175.14850000000001</v>
      </c>
      <c r="J380" s="148">
        <v>0</v>
      </c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57">
        <v>100</v>
      </c>
      <c r="AI380" s="57"/>
      <c r="AJ380" s="57">
        <v>100</v>
      </c>
      <c r="AK380" s="57"/>
      <c r="AL380" s="57"/>
      <c r="AM380" s="57"/>
      <c r="AN380" s="57"/>
      <c r="AO380" s="57"/>
      <c r="AP380" s="57"/>
      <c r="AQ380" s="57"/>
      <c r="AR380" s="57"/>
      <c r="AS380" s="57"/>
      <c r="AT380" s="57"/>
      <c r="AU380" s="58">
        <f t="shared" si="5"/>
        <v>-24.851499999999987</v>
      </c>
      <c r="AV380" s="58"/>
    </row>
    <row r="381" spans="1:48" ht="13.5" customHeight="1">
      <c r="A381" s="84">
        <v>379</v>
      </c>
      <c r="B381" s="85">
        <v>875</v>
      </c>
      <c r="C381" s="85" t="s">
        <v>38</v>
      </c>
      <c r="D381" s="175">
        <v>-603.19999999999993</v>
      </c>
      <c r="H381" s="56"/>
      <c r="I381" s="56">
        <v>-178.3</v>
      </c>
      <c r="J381" s="148"/>
      <c r="K381" s="57"/>
      <c r="L381" s="57"/>
      <c r="M381" s="57"/>
      <c r="N381" s="57"/>
      <c r="O381" s="57"/>
      <c r="P381" s="57"/>
      <c r="Q381" s="57">
        <v>214</v>
      </c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  <c r="AJ381" s="57"/>
      <c r="AK381" s="57"/>
      <c r="AL381" s="57"/>
      <c r="AM381" s="57">
        <v>145</v>
      </c>
      <c r="AN381" s="57"/>
      <c r="AO381" s="57"/>
      <c r="AP381" s="57"/>
      <c r="AQ381" s="57"/>
      <c r="AR381" s="57">
        <v>65.900000000000006</v>
      </c>
      <c r="AS381" s="57"/>
      <c r="AT381" s="57"/>
      <c r="AU381" s="58">
        <f t="shared" si="5"/>
        <v>-603.19999999999993</v>
      </c>
      <c r="AV381" s="58"/>
    </row>
    <row r="382" spans="1:48" ht="13.5" customHeight="1">
      <c r="A382" s="82">
        <v>380</v>
      </c>
      <c r="B382" s="85">
        <v>876</v>
      </c>
      <c r="C382" s="85" t="s">
        <v>38</v>
      </c>
      <c r="D382" s="175">
        <v>-5.8827520000003233</v>
      </c>
      <c r="F382" s="45">
        <v>320</v>
      </c>
      <c r="G382" s="45">
        <v>246.49709999999999</v>
      </c>
      <c r="H382" s="56">
        <v>-5.8827520000003233</v>
      </c>
      <c r="I382" s="56">
        <v>-5.8827520000003233</v>
      </c>
      <c r="J382" s="148">
        <v>0</v>
      </c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  <c r="AJ382" s="57"/>
      <c r="AK382" s="57"/>
      <c r="AL382" s="57"/>
      <c r="AM382" s="57"/>
      <c r="AN382" s="57"/>
      <c r="AO382" s="57"/>
      <c r="AP382" s="57"/>
      <c r="AQ382" s="57"/>
      <c r="AR382" s="57"/>
      <c r="AS382" s="57"/>
      <c r="AT382" s="57"/>
      <c r="AU382" s="58">
        <f t="shared" si="5"/>
        <v>-5.8827520000003233</v>
      </c>
      <c r="AV382" s="58"/>
    </row>
    <row r="383" spans="1:48" ht="13.5" customHeight="1">
      <c r="A383" s="84">
        <v>381</v>
      </c>
      <c r="B383" s="85">
        <v>892</v>
      </c>
      <c r="C383" s="85" t="s">
        <v>38</v>
      </c>
      <c r="D383" s="175">
        <v>-1110.5999999999999</v>
      </c>
      <c r="F383" s="45">
        <v>400</v>
      </c>
      <c r="G383" s="45">
        <v>334.16700000000003</v>
      </c>
      <c r="H383" s="56">
        <v>-78</v>
      </c>
      <c r="I383" s="56">
        <v>-78</v>
      </c>
      <c r="J383" s="148">
        <v>0</v>
      </c>
      <c r="K383" s="57"/>
      <c r="L383" s="57"/>
      <c r="M383" s="57"/>
      <c r="N383" s="57">
        <v>28.6</v>
      </c>
      <c r="O383" s="57"/>
      <c r="P383" s="57"/>
      <c r="Q383" s="57"/>
      <c r="R383" s="57"/>
      <c r="S383" s="57"/>
      <c r="T383" s="57"/>
      <c r="U383" s="57"/>
      <c r="V383" s="57"/>
      <c r="W383" s="57">
        <v>515.20000000000005</v>
      </c>
      <c r="X383" s="57"/>
      <c r="Y383" s="57"/>
      <c r="Z383" s="57"/>
      <c r="AA383" s="57"/>
      <c r="AB383" s="57"/>
      <c r="AC383" s="57"/>
      <c r="AD383" s="57">
        <v>50</v>
      </c>
      <c r="AE383" s="57">
        <v>150</v>
      </c>
      <c r="AF383" s="57"/>
      <c r="AG383" s="57"/>
      <c r="AH383" s="57"/>
      <c r="AI383" s="57"/>
      <c r="AJ383" s="57">
        <v>50</v>
      </c>
      <c r="AK383" s="57">
        <v>108.8</v>
      </c>
      <c r="AL383" s="57"/>
      <c r="AM383" s="57"/>
      <c r="AN383" s="57"/>
      <c r="AO383" s="57">
        <v>130</v>
      </c>
      <c r="AP383" s="57"/>
      <c r="AQ383" s="57"/>
      <c r="AR383" s="57"/>
      <c r="AS383" s="57"/>
      <c r="AT383" s="57"/>
      <c r="AU383" s="58">
        <f t="shared" si="5"/>
        <v>-1110.5999999999999</v>
      </c>
      <c r="AV383" s="58"/>
    </row>
    <row r="384" spans="1:48" ht="13.5" customHeight="1">
      <c r="A384" s="82">
        <v>382</v>
      </c>
      <c r="B384" s="85">
        <v>893</v>
      </c>
      <c r="C384" s="85" t="s">
        <v>38</v>
      </c>
      <c r="D384" s="175">
        <v>-585.06000000000006</v>
      </c>
      <c r="F384" s="45">
        <v>1400</v>
      </c>
      <c r="G384" s="45">
        <v>739.9</v>
      </c>
      <c r="H384" s="56">
        <v>44.939999999999969</v>
      </c>
      <c r="I384" s="56">
        <v>44.939999999999969</v>
      </c>
      <c r="J384" s="148">
        <v>0</v>
      </c>
      <c r="K384" s="57"/>
      <c r="L384" s="57"/>
      <c r="M384" s="57"/>
      <c r="N384" s="57"/>
      <c r="O384" s="57"/>
      <c r="P384" s="57"/>
      <c r="Q384" s="57"/>
      <c r="R384" s="57"/>
      <c r="S384" s="57"/>
      <c r="T384" s="57">
        <v>230</v>
      </c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  <c r="AJ384" s="57"/>
      <c r="AK384" s="57"/>
      <c r="AL384" s="57">
        <v>150</v>
      </c>
      <c r="AM384" s="57"/>
      <c r="AN384" s="57"/>
      <c r="AO384" s="57"/>
      <c r="AP384" s="57"/>
      <c r="AQ384" s="57"/>
      <c r="AR384" s="57"/>
      <c r="AS384" s="57"/>
      <c r="AT384" s="57">
        <v>250</v>
      </c>
      <c r="AU384" s="58">
        <f t="shared" si="5"/>
        <v>-585.06000000000006</v>
      </c>
      <c r="AV384" s="58"/>
    </row>
    <row r="385" spans="1:48" ht="13.5" customHeight="1">
      <c r="A385" s="84">
        <v>383</v>
      </c>
      <c r="B385" s="85">
        <v>894</v>
      </c>
      <c r="C385" s="85" t="s">
        <v>38</v>
      </c>
      <c r="D385" s="175">
        <v>189.27119999999999</v>
      </c>
      <c r="F385" s="45">
        <v>180</v>
      </c>
      <c r="G385" s="45">
        <v>194.88</v>
      </c>
      <c r="H385" s="56">
        <v>189.27119999999999</v>
      </c>
      <c r="I385" s="56">
        <v>189.27119999999999</v>
      </c>
      <c r="J385" s="148">
        <v>0</v>
      </c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57"/>
      <c r="AI385" s="57"/>
      <c r="AJ385" s="57"/>
      <c r="AK385" s="57"/>
      <c r="AL385" s="57"/>
      <c r="AM385" s="57"/>
      <c r="AN385" s="57"/>
      <c r="AO385" s="57"/>
      <c r="AP385" s="57"/>
      <c r="AQ385" s="57"/>
      <c r="AR385" s="57"/>
      <c r="AS385" s="57"/>
      <c r="AT385" s="57"/>
      <c r="AU385" s="58">
        <f t="shared" si="5"/>
        <v>189.27119999999999</v>
      </c>
      <c r="AV385" s="58"/>
    </row>
    <row r="386" spans="1:48" ht="13.5" customHeight="1">
      <c r="A386" s="84">
        <v>384</v>
      </c>
      <c r="B386" s="85">
        <v>900</v>
      </c>
      <c r="C386" s="85" t="s">
        <v>38</v>
      </c>
      <c r="D386" s="175">
        <v>139.14679999999998</v>
      </c>
      <c r="F386" s="45">
        <v>560</v>
      </c>
      <c r="G386" s="45">
        <v>540.56536500000004</v>
      </c>
      <c r="H386" s="56">
        <v>169.14679999999998</v>
      </c>
      <c r="I386" s="56">
        <v>169.14679999999998</v>
      </c>
      <c r="J386" s="148">
        <v>0</v>
      </c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  <c r="AH386" s="57"/>
      <c r="AI386" s="57"/>
      <c r="AJ386" s="57"/>
      <c r="AK386" s="57"/>
      <c r="AL386" s="57"/>
      <c r="AM386" s="57"/>
      <c r="AN386" s="57"/>
      <c r="AO386" s="57">
        <v>30</v>
      </c>
      <c r="AP386" s="57"/>
      <c r="AQ386" s="57"/>
      <c r="AR386" s="57"/>
      <c r="AS386" s="57"/>
      <c r="AT386" s="57"/>
      <c r="AU386" s="58">
        <f t="shared" si="5"/>
        <v>139.14679999999998</v>
      </c>
      <c r="AV386" s="58"/>
    </row>
    <row r="387" spans="1:48" ht="13.5" customHeight="1">
      <c r="A387" s="82">
        <v>385</v>
      </c>
      <c r="B387" s="85">
        <v>906</v>
      </c>
      <c r="C387" s="85" t="s">
        <v>38</v>
      </c>
      <c r="D387" s="175">
        <v>-42</v>
      </c>
      <c r="F387" s="45">
        <v>400</v>
      </c>
      <c r="G387" s="45">
        <v>235.58730000000003</v>
      </c>
      <c r="H387" s="56">
        <v>-42</v>
      </c>
      <c r="I387" s="56">
        <v>-42</v>
      </c>
      <c r="J387" s="148">
        <v>0</v>
      </c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  <c r="AH387" s="57"/>
      <c r="AI387" s="57"/>
      <c r="AJ387" s="57"/>
      <c r="AK387" s="57"/>
      <c r="AL387" s="57"/>
      <c r="AM387" s="57"/>
      <c r="AN387" s="57"/>
      <c r="AO387" s="57"/>
      <c r="AP387" s="57"/>
      <c r="AQ387" s="57"/>
      <c r="AR387" s="57"/>
      <c r="AS387" s="57"/>
      <c r="AT387" s="57"/>
      <c r="AU387" s="58">
        <f t="shared" si="5"/>
        <v>-42</v>
      </c>
      <c r="AV387" s="58"/>
    </row>
    <row r="388" spans="1:48" ht="13.5" customHeight="1">
      <c r="A388" s="84">
        <v>386</v>
      </c>
      <c r="B388" s="85">
        <v>908</v>
      </c>
      <c r="C388" s="85" t="s">
        <v>38</v>
      </c>
      <c r="D388" s="175">
        <v>-28.595199999999977</v>
      </c>
      <c r="F388" s="45">
        <v>100</v>
      </c>
      <c r="G388" s="45">
        <v>103.18199999999999</v>
      </c>
      <c r="H388" s="56">
        <v>-6.5951999999999771</v>
      </c>
      <c r="I388" s="56">
        <v>-6.5951999999999771</v>
      </c>
      <c r="J388" s="148">
        <v>0</v>
      </c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>
        <v>22</v>
      </c>
      <c r="AA388" s="57"/>
      <c r="AB388" s="57"/>
      <c r="AC388" s="57"/>
      <c r="AD388" s="57"/>
      <c r="AE388" s="57"/>
      <c r="AF388" s="57"/>
      <c r="AG388" s="57"/>
      <c r="AH388" s="57"/>
      <c r="AI388" s="57"/>
      <c r="AJ388" s="57"/>
      <c r="AK388" s="57"/>
      <c r="AL388" s="57"/>
      <c r="AM388" s="57"/>
      <c r="AN388" s="57"/>
      <c r="AO388" s="57"/>
      <c r="AP388" s="57"/>
      <c r="AQ388" s="57"/>
      <c r="AR388" s="57"/>
      <c r="AS388" s="57"/>
      <c r="AT388" s="57"/>
      <c r="AU388" s="58">
        <f t="shared" ref="AU388:AU451" si="6">I388-J388-K388-L388-M388-N388-O388-P388-Q388-R388-S388-T388-U388-V388-W388-X388-Y388-Z388-AA388-AB388-AC388-AD388-AE388-AF388-AG388-AH388-AI388-AJ388-AK388-AL388-AM388-AN388-AO388-AP388-AQ388-AR388-AS388-AT388</f>
        <v>-28.595199999999977</v>
      </c>
      <c r="AV388" s="58"/>
    </row>
    <row r="389" spans="1:48" ht="13.5" customHeight="1">
      <c r="A389" s="82">
        <v>387</v>
      </c>
      <c r="B389" s="85">
        <v>909</v>
      </c>
      <c r="C389" s="85" t="s">
        <v>38</v>
      </c>
      <c r="D389" s="175">
        <v>30.64951750000003</v>
      </c>
      <c r="F389" s="45">
        <v>320</v>
      </c>
      <c r="G389" s="45">
        <v>103.53</v>
      </c>
      <c r="H389" s="56">
        <v>50.64951750000003</v>
      </c>
      <c r="I389" s="56">
        <v>50.64951750000003</v>
      </c>
      <c r="J389" s="148">
        <v>0</v>
      </c>
      <c r="K389" s="57"/>
      <c r="L389" s="57"/>
      <c r="M389" s="57"/>
      <c r="N389" s="57"/>
      <c r="O389" s="57"/>
      <c r="P389" s="57"/>
      <c r="Q389" s="57"/>
      <c r="R389" s="57"/>
      <c r="S389" s="57"/>
      <c r="T389" s="57">
        <v>20</v>
      </c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  <c r="AH389" s="57"/>
      <c r="AI389" s="57"/>
      <c r="AJ389" s="57"/>
      <c r="AK389" s="57"/>
      <c r="AL389" s="57"/>
      <c r="AM389" s="57"/>
      <c r="AN389" s="57"/>
      <c r="AO389" s="57"/>
      <c r="AP389" s="57"/>
      <c r="AQ389" s="57"/>
      <c r="AR389" s="57"/>
      <c r="AS389" s="57"/>
      <c r="AT389" s="57"/>
      <c r="AU389" s="58">
        <f t="shared" si="6"/>
        <v>30.64951750000003</v>
      </c>
      <c r="AV389" s="58"/>
    </row>
    <row r="390" spans="1:48" ht="13.5" customHeight="1">
      <c r="A390" s="84">
        <v>388</v>
      </c>
      <c r="B390" s="85">
        <v>910</v>
      </c>
      <c r="C390" s="85" t="s">
        <v>38</v>
      </c>
      <c r="D390" s="175">
        <v>-192.17420000000004</v>
      </c>
      <c r="F390" s="45">
        <v>400</v>
      </c>
      <c r="G390" s="45">
        <v>278.39999999999998</v>
      </c>
      <c r="H390" s="56">
        <v>-42.174200000000042</v>
      </c>
      <c r="I390" s="56">
        <v>-42.174200000000042</v>
      </c>
      <c r="J390" s="148">
        <v>0</v>
      </c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  <c r="AH390" s="57"/>
      <c r="AI390" s="57"/>
      <c r="AJ390" s="57"/>
      <c r="AK390" s="57">
        <v>150</v>
      </c>
      <c r="AL390" s="57"/>
      <c r="AM390" s="57"/>
      <c r="AN390" s="57"/>
      <c r="AO390" s="57"/>
      <c r="AP390" s="57"/>
      <c r="AQ390" s="57"/>
      <c r="AR390" s="57"/>
      <c r="AS390" s="57"/>
      <c r="AT390" s="57"/>
      <c r="AU390" s="58">
        <f t="shared" si="6"/>
        <v>-192.17420000000004</v>
      </c>
      <c r="AV390" s="58"/>
    </row>
    <row r="391" spans="1:48" ht="13.5" customHeight="1">
      <c r="A391" s="84">
        <v>389</v>
      </c>
      <c r="B391" s="85">
        <v>911</v>
      </c>
      <c r="C391" s="85" t="s">
        <v>38</v>
      </c>
      <c r="D391" s="175">
        <v>98.424939999999992</v>
      </c>
      <c r="F391" s="45">
        <v>224</v>
      </c>
      <c r="G391" s="45">
        <v>267.08999999999997</v>
      </c>
      <c r="H391" s="56">
        <v>98.424939999999992</v>
      </c>
      <c r="I391" s="56">
        <v>98.424939999999992</v>
      </c>
      <c r="J391" s="148">
        <v>0</v>
      </c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  <c r="AH391" s="57"/>
      <c r="AI391" s="57"/>
      <c r="AJ391" s="57"/>
      <c r="AK391" s="57"/>
      <c r="AL391" s="57"/>
      <c r="AM391" s="57"/>
      <c r="AN391" s="57"/>
      <c r="AO391" s="57"/>
      <c r="AP391" s="57"/>
      <c r="AQ391" s="57"/>
      <c r="AR391" s="57"/>
      <c r="AS391" s="57"/>
      <c r="AT391" s="57"/>
      <c r="AU391" s="58">
        <f t="shared" si="6"/>
        <v>98.424939999999992</v>
      </c>
      <c r="AV391" s="58"/>
    </row>
    <row r="392" spans="1:48" ht="13.5" customHeight="1">
      <c r="A392" s="82">
        <v>390</v>
      </c>
      <c r="B392" s="85">
        <v>912</v>
      </c>
      <c r="C392" s="85" t="s">
        <v>38</v>
      </c>
      <c r="D392" s="175">
        <v>173.24</v>
      </c>
      <c r="F392" s="45">
        <v>400</v>
      </c>
      <c r="G392" s="45">
        <v>369.91334249999994</v>
      </c>
      <c r="H392" s="56">
        <v>173.24</v>
      </c>
      <c r="I392" s="56">
        <v>173.24</v>
      </c>
      <c r="J392" s="148">
        <v>0</v>
      </c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  <c r="AI392" s="57"/>
      <c r="AJ392" s="57"/>
      <c r="AK392" s="57"/>
      <c r="AL392" s="57"/>
      <c r="AM392" s="57"/>
      <c r="AN392" s="57"/>
      <c r="AO392" s="57"/>
      <c r="AP392" s="57"/>
      <c r="AQ392" s="57"/>
      <c r="AR392" s="57"/>
      <c r="AS392" s="57"/>
      <c r="AT392" s="57"/>
      <c r="AU392" s="58">
        <f t="shared" si="6"/>
        <v>173.24</v>
      </c>
      <c r="AV392" s="58"/>
    </row>
    <row r="393" spans="1:48" s="167" customFormat="1" ht="13.5" customHeight="1">
      <c r="A393" s="84">
        <v>391</v>
      </c>
      <c r="B393" s="220">
        <v>913</v>
      </c>
      <c r="C393" s="220" t="s">
        <v>38</v>
      </c>
      <c r="D393" s="221">
        <v>239.27999999999997</v>
      </c>
      <c r="H393" s="166"/>
      <c r="I393" s="166">
        <v>882</v>
      </c>
      <c r="J393" s="222">
        <v>513.72</v>
      </c>
      <c r="K393" s="168"/>
      <c r="L393" s="168"/>
      <c r="M393" s="168"/>
      <c r="N393" s="168"/>
      <c r="O393" s="168"/>
      <c r="P393" s="168"/>
      <c r="Q393" s="168"/>
      <c r="R393" s="168"/>
      <c r="S393" s="168"/>
      <c r="T393" s="168"/>
      <c r="U393" s="168"/>
      <c r="V393" s="168"/>
      <c r="W393" s="168"/>
      <c r="X393" s="168"/>
      <c r="Y393" s="168"/>
      <c r="Z393" s="168"/>
      <c r="AA393" s="168"/>
      <c r="AB393" s="168"/>
      <c r="AC393" s="168"/>
      <c r="AD393" s="168"/>
      <c r="AE393" s="168"/>
      <c r="AF393" s="168"/>
      <c r="AG393" s="168"/>
      <c r="AH393" s="168"/>
      <c r="AI393" s="168"/>
      <c r="AJ393" s="168"/>
      <c r="AK393" s="168"/>
      <c r="AL393" s="168"/>
      <c r="AM393" s="168"/>
      <c r="AN393" s="168"/>
      <c r="AO393" s="168"/>
      <c r="AP393" s="168"/>
      <c r="AQ393" s="168"/>
      <c r="AR393" s="168">
        <v>129</v>
      </c>
      <c r="AS393" s="168"/>
      <c r="AT393" s="168"/>
      <c r="AU393" s="58">
        <f t="shared" si="6"/>
        <v>239.27999999999997</v>
      </c>
      <c r="AV393" s="223"/>
    </row>
    <row r="394" spans="1:48" ht="13.5" customHeight="1">
      <c r="A394" s="82">
        <v>392</v>
      </c>
      <c r="B394" s="85">
        <v>914</v>
      </c>
      <c r="C394" s="85" t="s">
        <v>38</v>
      </c>
      <c r="D394" s="175">
        <v>-230</v>
      </c>
      <c r="H394" s="56"/>
      <c r="I394" s="56">
        <v>200</v>
      </c>
      <c r="J394" s="148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>
        <v>400</v>
      </c>
      <c r="V394" s="57"/>
      <c r="W394" s="57">
        <v>30</v>
      </c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  <c r="AH394" s="57"/>
      <c r="AI394" s="57"/>
      <c r="AJ394" s="57"/>
      <c r="AK394" s="57"/>
      <c r="AL394" s="57"/>
      <c r="AM394" s="57"/>
      <c r="AN394" s="57"/>
      <c r="AO394" s="57"/>
      <c r="AP394" s="57"/>
      <c r="AQ394" s="57"/>
      <c r="AR394" s="57"/>
      <c r="AS394" s="57"/>
      <c r="AT394" s="57"/>
      <c r="AU394" s="58">
        <f t="shared" si="6"/>
        <v>-230</v>
      </c>
      <c r="AV394" s="58"/>
    </row>
    <row r="395" spans="1:48" ht="13.5" customHeight="1">
      <c r="A395" s="84">
        <v>393</v>
      </c>
      <c r="B395" s="85">
        <v>920</v>
      </c>
      <c r="C395" s="85" t="s">
        <v>38</v>
      </c>
      <c r="D395" s="175">
        <v>275.52940000000001</v>
      </c>
      <c r="F395" s="45">
        <v>630</v>
      </c>
      <c r="G395" s="45">
        <v>346.74197999999996</v>
      </c>
      <c r="H395" s="56">
        <v>275.52940000000001</v>
      </c>
      <c r="I395" s="56">
        <v>275.52940000000001</v>
      </c>
      <c r="J395" s="148">
        <v>0</v>
      </c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  <c r="AH395" s="57"/>
      <c r="AI395" s="57"/>
      <c r="AJ395" s="57"/>
      <c r="AK395" s="57"/>
      <c r="AL395" s="57"/>
      <c r="AM395" s="57"/>
      <c r="AN395" s="57"/>
      <c r="AO395" s="57"/>
      <c r="AP395" s="57"/>
      <c r="AQ395" s="57"/>
      <c r="AR395" s="57"/>
      <c r="AS395" s="57"/>
      <c r="AT395" s="57"/>
      <c r="AU395" s="58">
        <f t="shared" si="6"/>
        <v>275.52940000000001</v>
      </c>
      <c r="AV395" s="58"/>
    </row>
    <row r="396" spans="1:48" ht="13.5" customHeight="1">
      <c r="A396" s="84">
        <v>394</v>
      </c>
      <c r="B396" s="85">
        <v>923</v>
      </c>
      <c r="C396" s="85" t="s">
        <v>38</v>
      </c>
      <c r="D396" s="175">
        <v>-1773.9260999999999</v>
      </c>
      <c r="F396" s="45">
        <v>448</v>
      </c>
      <c r="G396" s="45">
        <v>340.87687499999998</v>
      </c>
      <c r="H396" s="56">
        <v>-1705.9260999999999</v>
      </c>
      <c r="I396" s="56">
        <v>-1705.9260999999999</v>
      </c>
      <c r="J396" s="148">
        <v>0</v>
      </c>
      <c r="K396" s="57">
        <v>68</v>
      </c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  <c r="AH396" s="57"/>
      <c r="AI396" s="57"/>
      <c r="AJ396" s="57"/>
      <c r="AK396" s="57"/>
      <c r="AL396" s="57"/>
      <c r="AM396" s="57"/>
      <c r="AN396" s="57"/>
      <c r="AO396" s="57"/>
      <c r="AP396" s="57"/>
      <c r="AQ396" s="57"/>
      <c r="AR396" s="57"/>
      <c r="AS396" s="57"/>
      <c r="AT396" s="57"/>
      <c r="AU396" s="58">
        <f t="shared" si="6"/>
        <v>-1773.9260999999999</v>
      </c>
      <c r="AV396" s="58"/>
    </row>
    <row r="397" spans="1:48" ht="13.5" customHeight="1">
      <c r="A397" s="82">
        <v>395</v>
      </c>
      <c r="B397" s="85">
        <v>928</v>
      </c>
      <c r="C397" s="85" t="s">
        <v>38</v>
      </c>
      <c r="D397" s="175">
        <v>-589.26892999999995</v>
      </c>
      <c r="F397" s="45">
        <v>160</v>
      </c>
      <c r="G397" s="45">
        <v>46.98</v>
      </c>
      <c r="H397" s="56">
        <v>-7.2089300000000094</v>
      </c>
      <c r="I397" s="56">
        <v>-7.2089300000000094</v>
      </c>
      <c r="J397" s="148">
        <v>0</v>
      </c>
      <c r="K397" s="57"/>
      <c r="L397" s="57"/>
      <c r="M397" s="57"/>
      <c r="N397" s="57"/>
      <c r="O397" s="57"/>
      <c r="P397" s="57"/>
      <c r="Q397" s="57"/>
      <c r="R397" s="57"/>
      <c r="S397" s="57"/>
      <c r="T397" s="57">
        <v>400</v>
      </c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  <c r="AH397" s="57">
        <v>165.06</v>
      </c>
      <c r="AI397" s="57"/>
      <c r="AJ397" s="57"/>
      <c r="AK397" s="57"/>
      <c r="AL397" s="57"/>
      <c r="AM397" s="57"/>
      <c r="AN397" s="57"/>
      <c r="AO397" s="57"/>
      <c r="AP397" s="57"/>
      <c r="AQ397" s="57"/>
      <c r="AR397" s="57"/>
      <c r="AS397" s="57"/>
      <c r="AT397" s="57">
        <v>17</v>
      </c>
      <c r="AU397" s="58">
        <f t="shared" si="6"/>
        <v>-589.26892999999995</v>
      </c>
      <c r="AV397" s="58"/>
    </row>
    <row r="398" spans="1:48" ht="13.5" customHeight="1">
      <c r="A398" s="84">
        <v>396</v>
      </c>
      <c r="B398" s="85">
        <v>931</v>
      </c>
      <c r="C398" s="85" t="s">
        <v>38</v>
      </c>
      <c r="D398" s="175">
        <v>30.052284999999983</v>
      </c>
      <c r="F398" s="45">
        <v>448</v>
      </c>
      <c r="G398" s="45">
        <v>491.37599999999998</v>
      </c>
      <c r="H398" s="56">
        <v>52.052284999999983</v>
      </c>
      <c r="I398" s="56">
        <v>52.052284999999983</v>
      </c>
      <c r="J398" s="148">
        <v>0</v>
      </c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>
        <v>22</v>
      </c>
      <c r="Y398" s="57"/>
      <c r="Z398" s="57"/>
      <c r="AA398" s="57"/>
      <c r="AB398" s="57"/>
      <c r="AC398" s="57"/>
      <c r="AD398" s="57"/>
      <c r="AE398" s="57"/>
      <c r="AF398" s="57"/>
      <c r="AG398" s="57"/>
      <c r="AH398" s="57"/>
      <c r="AI398" s="57"/>
      <c r="AJ398" s="57"/>
      <c r="AK398" s="57"/>
      <c r="AL398" s="57"/>
      <c r="AM398" s="57"/>
      <c r="AN398" s="57"/>
      <c r="AO398" s="57"/>
      <c r="AP398" s="57"/>
      <c r="AQ398" s="57"/>
      <c r="AR398" s="57"/>
      <c r="AS398" s="57"/>
      <c r="AT398" s="57"/>
      <c r="AU398" s="58">
        <f t="shared" si="6"/>
        <v>30.052284999999983</v>
      </c>
      <c r="AV398" s="58"/>
    </row>
    <row r="399" spans="1:48" ht="13.5" customHeight="1">
      <c r="A399" s="82">
        <v>397</v>
      </c>
      <c r="B399" s="85">
        <v>932</v>
      </c>
      <c r="C399" s="85" t="s">
        <v>38</v>
      </c>
      <c r="D399" s="175">
        <v>85.117374999999981</v>
      </c>
      <c r="F399" s="45">
        <v>560</v>
      </c>
      <c r="G399" s="45">
        <v>489.93267000000009</v>
      </c>
      <c r="H399" s="56">
        <v>85.117374999999981</v>
      </c>
      <c r="I399" s="56">
        <v>85.117374999999981</v>
      </c>
      <c r="J399" s="148">
        <v>0</v>
      </c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  <c r="AH399" s="57"/>
      <c r="AI399" s="57"/>
      <c r="AJ399" s="57"/>
      <c r="AK399" s="57"/>
      <c r="AL399" s="57"/>
      <c r="AM399" s="57"/>
      <c r="AN399" s="57"/>
      <c r="AO399" s="57"/>
      <c r="AP399" s="57"/>
      <c r="AQ399" s="57"/>
      <c r="AR399" s="57"/>
      <c r="AS399" s="57"/>
      <c r="AT399" s="57"/>
      <c r="AU399" s="58">
        <f t="shared" si="6"/>
        <v>85.117374999999981</v>
      </c>
      <c r="AV399" s="58"/>
    </row>
    <row r="400" spans="1:48" ht="13.5" customHeight="1">
      <c r="A400" s="84">
        <v>398</v>
      </c>
      <c r="B400" s="85">
        <v>936</v>
      </c>
      <c r="C400" s="85" t="s">
        <v>38</v>
      </c>
      <c r="D400" s="175">
        <v>359.9</v>
      </c>
      <c r="F400" s="45">
        <v>448</v>
      </c>
      <c r="G400" s="45">
        <v>488.24541374999995</v>
      </c>
      <c r="H400" s="56">
        <v>359.9</v>
      </c>
      <c r="I400" s="56">
        <v>359.9</v>
      </c>
      <c r="J400" s="148">
        <v>0</v>
      </c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  <c r="AH400" s="57"/>
      <c r="AI400" s="57"/>
      <c r="AJ400" s="57"/>
      <c r="AK400" s="57"/>
      <c r="AL400" s="57"/>
      <c r="AM400" s="57"/>
      <c r="AN400" s="57"/>
      <c r="AO400" s="57"/>
      <c r="AP400" s="57"/>
      <c r="AQ400" s="57"/>
      <c r="AR400" s="57"/>
      <c r="AS400" s="57"/>
      <c r="AT400" s="57"/>
      <c r="AU400" s="58">
        <f t="shared" si="6"/>
        <v>359.9</v>
      </c>
      <c r="AV400" s="58"/>
    </row>
    <row r="401" spans="1:48" ht="13.5" customHeight="1">
      <c r="A401" s="84">
        <v>399</v>
      </c>
      <c r="B401" s="85">
        <v>938</v>
      </c>
      <c r="C401" s="85" t="s">
        <v>38</v>
      </c>
      <c r="D401" s="175">
        <v>-133</v>
      </c>
      <c r="F401" s="45">
        <v>350</v>
      </c>
      <c r="G401" s="45">
        <v>392.25668249999995</v>
      </c>
      <c r="H401" s="56">
        <v>-68</v>
      </c>
      <c r="I401" s="56">
        <v>-68</v>
      </c>
      <c r="J401" s="148">
        <v>0</v>
      </c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>
        <v>65</v>
      </c>
      <c r="AG401" s="57"/>
      <c r="AH401" s="57"/>
      <c r="AI401" s="57"/>
      <c r="AJ401" s="57"/>
      <c r="AK401" s="57"/>
      <c r="AL401" s="57"/>
      <c r="AM401" s="57"/>
      <c r="AN401" s="57"/>
      <c r="AO401" s="57"/>
      <c r="AP401" s="57"/>
      <c r="AQ401" s="57"/>
      <c r="AR401" s="57"/>
      <c r="AS401" s="57"/>
      <c r="AT401" s="57"/>
      <c r="AU401" s="58">
        <f t="shared" si="6"/>
        <v>-133</v>
      </c>
      <c r="AV401" s="58"/>
    </row>
    <row r="402" spans="1:48" ht="13.5" customHeight="1">
      <c r="A402" s="82">
        <v>400</v>
      </c>
      <c r="B402" s="85">
        <v>953</v>
      </c>
      <c r="C402" s="85" t="s">
        <v>38</v>
      </c>
      <c r="D402" s="175">
        <v>376.78399999999999</v>
      </c>
      <c r="F402" s="45">
        <v>560</v>
      </c>
      <c r="G402" s="45">
        <v>498.20549999999997</v>
      </c>
      <c r="H402" s="56">
        <v>462.78399999999999</v>
      </c>
      <c r="I402" s="56">
        <v>462.78399999999999</v>
      </c>
      <c r="J402" s="148">
        <v>0</v>
      </c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>
        <v>86</v>
      </c>
      <c r="AE402" s="57"/>
      <c r="AF402" s="57"/>
      <c r="AG402" s="57"/>
      <c r="AH402" s="57"/>
      <c r="AI402" s="57"/>
      <c r="AJ402" s="57"/>
      <c r="AK402" s="57"/>
      <c r="AL402" s="57"/>
      <c r="AM402" s="57"/>
      <c r="AN402" s="57"/>
      <c r="AO402" s="57"/>
      <c r="AP402" s="57"/>
      <c r="AQ402" s="57"/>
      <c r="AR402" s="57"/>
      <c r="AS402" s="57"/>
      <c r="AT402" s="57"/>
      <c r="AU402" s="58">
        <f t="shared" si="6"/>
        <v>376.78399999999999</v>
      </c>
      <c r="AV402" s="58"/>
    </row>
    <row r="403" spans="1:48" ht="13.5" customHeight="1">
      <c r="A403" s="84">
        <v>401</v>
      </c>
      <c r="B403" s="85">
        <v>955</v>
      </c>
      <c r="C403" s="85" t="s">
        <v>38</v>
      </c>
      <c r="D403" s="175">
        <v>102.89999999999998</v>
      </c>
      <c r="F403" s="45">
        <v>320</v>
      </c>
      <c r="G403" s="45">
        <v>264.48</v>
      </c>
      <c r="H403" s="56">
        <v>102.89999999999998</v>
      </c>
      <c r="I403" s="56">
        <v>112.89999999999998</v>
      </c>
      <c r="J403" s="148">
        <v>10</v>
      </c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  <c r="AI403" s="57"/>
      <c r="AJ403" s="57"/>
      <c r="AK403" s="57"/>
      <c r="AL403" s="57"/>
      <c r="AM403" s="57"/>
      <c r="AN403" s="57"/>
      <c r="AO403" s="57"/>
      <c r="AP403" s="57"/>
      <c r="AQ403" s="57"/>
      <c r="AR403" s="57"/>
      <c r="AS403" s="57"/>
      <c r="AT403" s="57"/>
      <c r="AU403" s="58">
        <f t="shared" si="6"/>
        <v>102.89999999999998</v>
      </c>
      <c r="AV403" s="58"/>
    </row>
    <row r="404" spans="1:48" ht="13.5" customHeight="1">
      <c r="A404" s="82">
        <v>402</v>
      </c>
      <c r="B404" s="85">
        <v>956</v>
      </c>
      <c r="C404" s="85" t="s">
        <v>38</v>
      </c>
      <c r="D404" s="175">
        <v>-235.49299999999999</v>
      </c>
      <c r="F404" s="45">
        <v>560</v>
      </c>
      <c r="G404" s="45">
        <v>590.45580000000007</v>
      </c>
      <c r="H404" s="56">
        <v>134.50700000000001</v>
      </c>
      <c r="I404" s="56">
        <v>134.50700000000001</v>
      </c>
      <c r="J404" s="148">
        <v>0</v>
      </c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>
        <v>120</v>
      </c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57">
        <v>250</v>
      </c>
      <c r="AI404" s="57"/>
      <c r="AJ404" s="57"/>
      <c r="AK404" s="57"/>
      <c r="AL404" s="57"/>
      <c r="AM404" s="57"/>
      <c r="AN404" s="57"/>
      <c r="AO404" s="57"/>
      <c r="AP404" s="57"/>
      <c r="AQ404" s="57"/>
      <c r="AR404" s="57"/>
      <c r="AS404" s="57"/>
      <c r="AT404" s="57"/>
      <c r="AU404" s="58">
        <f t="shared" si="6"/>
        <v>-235.49299999999999</v>
      </c>
      <c r="AV404" s="58"/>
    </row>
    <row r="405" spans="1:48" ht="13.5" customHeight="1">
      <c r="A405" s="84">
        <v>403</v>
      </c>
      <c r="B405" s="85">
        <v>959</v>
      </c>
      <c r="C405" s="85" t="s">
        <v>38</v>
      </c>
      <c r="D405" s="175">
        <v>106.97000000000003</v>
      </c>
      <c r="H405" s="56"/>
      <c r="I405" s="56">
        <v>409.47</v>
      </c>
      <c r="J405" s="148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>
        <v>302.5</v>
      </c>
      <c r="AA405" s="57"/>
      <c r="AB405" s="57"/>
      <c r="AC405" s="57">
        <v>0</v>
      </c>
      <c r="AD405" s="57"/>
      <c r="AE405" s="57"/>
      <c r="AF405" s="57"/>
      <c r="AG405" s="57"/>
      <c r="AH405" s="57"/>
      <c r="AI405" s="57"/>
      <c r="AJ405" s="57"/>
      <c r="AK405" s="57"/>
      <c r="AL405" s="57"/>
      <c r="AM405" s="57"/>
      <c r="AN405" s="57"/>
      <c r="AO405" s="57"/>
      <c r="AP405" s="57"/>
      <c r="AQ405" s="57"/>
      <c r="AR405" s="57"/>
      <c r="AS405" s="57"/>
      <c r="AT405" s="57"/>
      <c r="AU405" s="58">
        <f t="shared" si="6"/>
        <v>106.97000000000003</v>
      </c>
      <c r="AV405" s="58"/>
    </row>
    <row r="406" spans="1:48" ht="13.5" customHeight="1">
      <c r="A406" s="84">
        <v>404</v>
      </c>
      <c r="B406" s="85">
        <v>961</v>
      </c>
      <c r="C406" s="85" t="s">
        <v>38</v>
      </c>
      <c r="D406" s="175">
        <v>451</v>
      </c>
      <c r="H406" s="56"/>
      <c r="I406" s="56">
        <v>504</v>
      </c>
      <c r="J406" s="148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>
        <v>53</v>
      </c>
      <c r="Y406" s="57"/>
      <c r="Z406" s="57"/>
      <c r="AA406" s="57"/>
      <c r="AB406" s="57"/>
      <c r="AC406" s="57"/>
      <c r="AD406" s="57"/>
      <c r="AE406" s="57"/>
      <c r="AF406" s="57"/>
      <c r="AG406" s="57"/>
      <c r="AH406" s="57"/>
      <c r="AI406" s="57"/>
      <c r="AJ406" s="57"/>
      <c r="AK406" s="57"/>
      <c r="AL406" s="57"/>
      <c r="AM406" s="57"/>
      <c r="AN406" s="57"/>
      <c r="AO406" s="57"/>
      <c r="AP406" s="57"/>
      <c r="AQ406" s="57"/>
      <c r="AR406" s="57"/>
      <c r="AS406" s="57"/>
      <c r="AT406" s="57"/>
      <c r="AU406" s="58">
        <f t="shared" si="6"/>
        <v>451</v>
      </c>
      <c r="AV406" s="58"/>
    </row>
    <row r="407" spans="1:48" ht="13.5" customHeight="1">
      <c r="A407" s="82">
        <v>405</v>
      </c>
      <c r="B407" s="85">
        <v>965</v>
      </c>
      <c r="C407" s="85" t="s">
        <v>38</v>
      </c>
      <c r="D407" s="175">
        <v>142.72</v>
      </c>
      <c r="F407" s="45">
        <v>400</v>
      </c>
      <c r="G407" s="45">
        <v>331.12200000000001</v>
      </c>
      <c r="H407" s="56">
        <v>187.72</v>
      </c>
      <c r="I407" s="56">
        <v>187.72</v>
      </c>
      <c r="J407" s="148">
        <v>0</v>
      </c>
      <c r="K407" s="57"/>
      <c r="L407" s="57">
        <v>45</v>
      </c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  <c r="AI407" s="57"/>
      <c r="AJ407" s="57"/>
      <c r="AK407" s="57"/>
      <c r="AL407" s="57"/>
      <c r="AM407" s="57"/>
      <c r="AN407" s="57"/>
      <c r="AO407" s="57"/>
      <c r="AP407" s="57"/>
      <c r="AQ407" s="57"/>
      <c r="AR407" s="57"/>
      <c r="AS407" s="57"/>
      <c r="AT407" s="57"/>
      <c r="AU407" s="58">
        <f t="shared" si="6"/>
        <v>142.72</v>
      </c>
      <c r="AV407" s="58"/>
    </row>
    <row r="408" spans="1:48" ht="13.5" customHeight="1">
      <c r="A408" s="84">
        <v>406</v>
      </c>
      <c r="B408" s="85">
        <v>966</v>
      </c>
      <c r="C408" s="85" t="s">
        <v>38</v>
      </c>
      <c r="D408" s="175">
        <v>126.55293499999999</v>
      </c>
      <c r="F408" s="45">
        <v>350</v>
      </c>
      <c r="G408" s="45">
        <v>402.5187588</v>
      </c>
      <c r="H408" s="56">
        <v>186.55293499999999</v>
      </c>
      <c r="I408" s="56">
        <v>186.55293499999999</v>
      </c>
      <c r="J408" s="148">
        <v>0</v>
      </c>
      <c r="K408" s="57">
        <v>60</v>
      </c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  <c r="AH408" s="57"/>
      <c r="AI408" s="57"/>
      <c r="AJ408" s="57"/>
      <c r="AK408" s="57"/>
      <c r="AL408" s="57"/>
      <c r="AM408" s="57"/>
      <c r="AN408" s="57"/>
      <c r="AO408" s="57"/>
      <c r="AP408" s="57"/>
      <c r="AQ408" s="57"/>
      <c r="AR408" s="57"/>
      <c r="AS408" s="57"/>
      <c r="AT408" s="57"/>
      <c r="AU408" s="58">
        <f t="shared" si="6"/>
        <v>126.55293499999999</v>
      </c>
      <c r="AV408" s="58"/>
    </row>
    <row r="409" spans="1:48" s="167" customFormat="1" ht="13.5" customHeight="1">
      <c r="A409" s="82">
        <v>407</v>
      </c>
      <c r="B409" s="220">
        <v>970</v>
      </c>
      <c r="C409" s="220" t="s">
        <v>38</v>
      </c>
      <c r="D409" s="221">
        <v>-52</v>
      </c>
      <c r="H409" s="166"/>
      <c r="I409" s="166">
        <v>320</v>
      </c>
      <c r="J409" s="222">
        <v>307</v>
      </c>
      <c r="K409" s="168"/>
      <c r="L409" s="168"/>
      <c r="M409" s="168"/>
      <c r="N409" s="168"/>
      <c r="O409" s="168"/>
      <c r="P409" s="168"/>
      <c r="Q409" s="168"/>
      <c r="R409" s="168"/>
      <c r="S409" s="168"/>
      <c r="T409" s="168"/>
      <c r="U409" s="168"/>
      <c r="V409" s="168"/>
      <c r="W409" s="168"/>
      <c r="X409" s="168"/>
      <c r="Y409" s="168"/>
      <c r="Z409" s="168"/>
      <c r="AA409" s="168"/>
      <c r="AB409" s="168"/>
      <c r="AC409" s="168"/>
      <c r="AD409" s="168"/>
      <c r="AE409" s="168"/>
      <c r="AF409" s="168"/>
      <c r="AG409" s="168"/>
      <c r="AH409" s="168"/>
      <c r="AI409" s="168"/>
      <c r="AJ409" s="168"/>
      <c r="AK409" s="168"/>
      <c r="AL409" s="168"/>
      <c r="AM409" s="168"/>
      <c r="AN409" s="168"/>
      <c r="AO409" s="168"/>
      <c r="AP409" s="168"/>
      <c r="AQ409" s="168"/>
      <c r="AR409" s="168"/>
      <c r="AS409" s="168"/>
      <c r="AT409" s="168">
        <v>45</v>
      </c>
      <c r="AU409" s="58">
        <f t="shared" si="6"/>
        <v>-32</v>
      </c>
      <c r="AV409" s="223"/>
    </row>
    <row r="410" spans="1:48" ht="13.5" customHeight="1">
      <c r="A410" s="84">
        <v>408</v>
      </c>
      <c r="B410" s="85">
        <v>971</v>
      </c>
      <c r="C410" s="85" t="s">
        <v>38</v>
      </c>
      <c r="D410" s="175">
        <v>122.61500000000001</v>
      </c>
      <c r="F410" s="45">
        <v>560</v>
      </c>
      <c r="G410" s="45">
        <v>498.83190000000002</v>
      </c>
      <c r="H410" s="56">
        <v>372.61500000000001</v>
      </c>
      <c r="I410" s="56">
        <v>372.61500000000001</v>
      </c>
      <c r="J410" s="148">
        <v>0</v>
      </c>
      <c r="K410" s="57"/>
      <c r="L410" s="57"/>
      <c r="M410" s="57"/>
      <c r="N410" s="57"/>
      <c r="O410" s="57">
        <v>250</v>
      </c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  <c r="AH410" s="57"/>
      <c r="AI410" s="57"/>
      <c r="AJ410" s="57"/>
      <c r="AK410" s="57"/>
      <c r="AL410" s="57"/>
      <c r="AM410" s="57"/>
      <c r="AN410" s="57"/>
      <c r="AO410" s="57"/>
      <c r="AP410" s="57"/>
      <c r="AQ410" s="57"/>
      <c r="AR410" s="57"/>
      <c r="AS410" s="57"/>
      <c r="AT410" s="57"/>
      <c r="AU410" s="58">
        <f t="shared" si="6"/>
        <v>122.61500000000001</v>
      </c>
      <c r="AV410" s="58"/>
    </row>
    <row r="411" spans="1:48" ht="13.5" customHeight="1">
      <c r="A411" s="84">
        <v>409</v>
      </c>
      <c r="B411" s="85">
        <v>974</v>
      </c>
      <c r="C411" s="85" t="s">
        <v>38</v>
      </c>
      <c r="D411" s="175">
        <v>-292.5</v>
      </c>
      <c r="F411" s="45">
        <v>320</v>
      </c>
      <c r="G411" s="45">
        <v>264.654</v>
      </c>
      <c r="H411" s="56">
        <v>-58</v>
      </c>
      <c r="I411" s="56">
        <v>-58</v>
      </c>
      <c r="J411" s="148">
        <v>0</v>
      </c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>
        <v>100</v>
      </c>
      <c r="Z411" s="57"/>
      <c r="AA411" s="57"/>
      <c r="AB411" s="57"/>
      <c r="AC411" s="57"/>
      <c r="AD411" s="57"/>
      <c r="AE411" s="57"/>
      <c r="AF411" s="57"/>
      <c r="AG411" s="57"/>
      <c r="AH411" s="57"/>
      <c r="AI411" s="57"/>
      <c r="AJ411" s="57"/>
      <c r="AK411" s="119"/>
      <c r="AL411" s="165"/>
      <c r="AM411" s="57">
        <f>24.5+110</f>
        <v>134.5</v>
      </c>
      <c r="AN411" s="57"/>
      <c r="AO411" s="57"/>
      <c r="AP411" s="57"/>
      <c r="AQ411" s="57"/>
      <c r="AR411" s="57"/>
      <c r="AS411" s="57"/>
      <c r="AT411" s="57"/>
      <c r="AU411" s="58">
        <f t="shared" si="6"/>
        <v>-292.5</v>
      </c>
      <c r="AV411" s="58"/>
    </row>
    <row r="412" spans="1:48" ht="13.5" customHeight="1">
      <c r="A412" s="82">
        <v>410</v>
      </c>
      <c r="B412" s="85">
        <v>986</v>
      </c>
      <c r="C412" s="85" t="s">
        <v>38</v>
      </c>
      <c r="D412" s="175">
        <v>104.16129999999998</v>
      </c>
      <c r="F412" s="45">
        <v>350</v>
      </c>
      <c r="G412" s="45">
        <v>400.33898249999993</v>
      </c>
      <c r="H412" s="56">
        <v>154.16129999999998</v>
      </c>
      <c r="I412" s="56">
        <v>204.16129999999998</v>
      </c>
      <c r="J412" s="148">
        <v>50</v>
      </c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>
        <v>50</v>
      </c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  <c r="AH412" s="57"/>
      <c r="AI412" s="57"/>
      <c r="AJ412" s="57"/>
      <c r="AK412" s="57"/>
      <c r="AL412" s="57"/>
      <c r="AM412" s="57"/>
      <c r="AN412" s="57"/>
      <c r="AO412" s="57"/>
      <c r="AP412" s="57"/>
      <c r="AQ412" s="57"/>
      <c r="AR412" s="57"/>
      <c r="AS412" s="57"/>
      <c r="AT412" s="57"/>
      <c r="AU412" s="58">
        <f t="shared" si="6"/>
        <v>104.16129999999998</v>
      </c>
      <c r="AV412" s="58"/>
    </row>
    <row r="413" spans="1:48" ht="13.5" customHeight="1">
      <c r="A413" s="84">
        <v>411</v>
      </c>
      <c r="B413" s="85">
        <v>990</v>
      </c>
      <c r="C413" s="85" t="s">
        <v>38</v>
      </c>
      <c r="D413" s="175">
        <v>-501.8599999999999</v>
      </c>
      <c r="H413" s="56"/>
      <c r="I413" s="56">
        <v>882</v>
      </c>
      <c r="J413" s="148">
        <v>1133.8599999999999</v>
      </c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>
        <v>50</v>
      </c>
      <c r="AD413" s="57"/>
      <c r="AE413" s="57"/>
      <c r="AF413" s="57"/>
      <c r="AG413" s="57"/>
      <c r="AH413" s="57"/>
      <c r="AI413" s="57"/>
      <c r="AJ413" s="57"/>
      <c r="AK413" s="57">
        <v>200</v>
      </c>
      <c r="AL413" s="57"/>
      <c r="AM413" s="57"/>
      <c r="AN413" s="57"/>
      <c r="AO413" s="57"/>
      <c r="AP413" s="57"/>
      <c r="AQ413" s="57"/>
      <c r="AR413" s="57"/>
      <c r="AS413" s="57"/>
      <c r="AT413" s="57"/>
      <c r="AU413" s="58">
        <f t="shared" si="6"/>
        <v>-501.8599999999999</v>
      </c>
      <c r="AV413" s="58"/>
    </row>
    <row r="414" spans="1:48" ht="13.5" customHeight="1">
      <c r="A414" s="82">
        <v>412</v>
      </c>
      <c r="B414" s="85">
        <v>997</v>
      </c>
      <c r="C414" s="85" t="s">
        <v>38</v>
      </c>
      <c r="D414" s="175">
        <v>-347.05600000000004</v>
      </c>
      <c r="F414" s="45">
        <v>400</v>
      </c>
      <c r="G414" s="45">
        <v>343.66522499999996</v>
      </c>
      <c r="H414" s="56">
        <v>105.24399999999997</v>
      </c>
      <c r="I414" s="56">
        <v>105.24399999999997</v>
      </c>
      <c r="J414" s="148">
        <v>0</v>
      </c>
      <c r="K414" s="57">
        <v>50</v>
      </c>
      <c r="L414" s="57"/>
      <c r="M414" s="57">
        <v>22.15</v>
      </c>
      <c r="N414" s="57"/>
      <c r="O414" s="57"/>
      <c r="P414" s="57"/>
      <c r="Q414" s="57">
        <v>98</v>
      </c>
      <c r="R414" s="57"/>
      <c r="S414" s="57"/>
      <c r="T414" s="57"/>
      <c r="U414" s="57"/>
      <c r="V414" s="57"/>
      <c r="W414" s="57">
        <v>22.15</v>
      </c>
      <c r="X414" s="57"/>
      <c r="Y414" s="57"/>
      <c r="Z414" s="57"/>
      <c r="AA414" s="57"/>
      <c r="AB414" s="57"/>
      <c r="AC414" s="57"/>
      <c r="AD414" s="57"/>
      <c r="AE414" s="57"/>
      <c r="AF414" s="57">
        <v>170</v>
      </c>
      <c r="AG414" s="57"/>
      <c r="AH414" s="57"/>
      <c r="AI414" s="57"/>
      <c r="AJ414" s="57"/>
      <c r="AK414" s="57"/>
      <c r="AL414" s="57"/>
      <c r="AM414" s="57"/>
      <c r="AN414" s="57"/>
      <c r="AO414" s="57"/>
      <c r="AP414" s="57"/>
      <c r="AQ414" s="57">
        <v>40</v>
      </c>
      <c r="AR414" s="57">
        <v>10</v>
      </c>
      <c r="AS414" s="57">
        <v>40</v>
      </c>
      <c r="AT414" s="57"/>
      <c r="AU414" s="58">
        <f t="shared" si="6"/>
        <v>-347.05600000000004</v>
      </c>
      <c r="AV414" s="58"/>
    </row>
    <row r="415" spans="1:48" ht="13.5" customHeight="1">
      <c r="A415" s="84">
        <v>413</v>
      </c>
      <c r="B415" s="85">
        <v>1015</v>
      </c>
      <c r="C415" s="85" t="s">
        <v>38</v>
      </c>
      <c r="D415" s="175">
        <v>81.278970000000072</v>
      </c>
      <c r="F415" s="45">
        <v>400</v>
      </c>
      <c r="G415" s="45">
        <v>281.05349999999999</v>
      </c>
      <c r="H415" s="56">
        <v>81.278970000000072</v>
      </c>
      <c r="I415" s="56">
        <v>81.278970000000072</v>
      </c>
      <c r="J415" s="148">
        <v>0</v>
      </c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  <c r="AJ415" s="57"/>
      <c r="AK415" s="57"/>
      <c r="AL415" s="57"/>
      <c r="AM415" s="57"/>
      <c r="AN415" s="57"/>
      <c r="AO415" s="57"/>
      <c r="AP415" s="57"/>
      <c r="AQ415" s="57"/>
      <c r="AR415" s="57"/>
      <c r="AS415" s="57"/>
      <c r="AT415" s="57"/>
      <c r="AU415" s="58">
        <f t="shared" si="6"/>
        <v>81.278970000000072</v>
      </c>
      <c r="AV415" s="58"/>
    </row>
    <row r="416" spans="1:48" ht="13.5" customHeight="1">
      <c r="A416" s="84">
        <v>414</v>
      </c>
      <c r="B416" s="85">
        <v>1016</v>
      </c>
      <c r="C416" s="85" t="s">
        <v>38</v>
      </c>
      <c r="D416" s="175">
        <v>-144.17476999999997</v>
      </c>
      <c r="F416" s="45">
        <v>882</v>
      </c>
      <c r="G416" s="45">
        <v>787.10596499999997</v>
      </c>
      <c r="H416" s="56">
        <v>-64.174769999999967</v>
      </c>
      <c r="I416" s="56">
        <v>-64.174769999999967</v>
      </c>
      <c r="J416" s="148">
        <v>0</v>
      </c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>
        <v>80</v>
      </c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57"/>
      <c r="AI416" s="57"/>
      <c r="AJ416" s="57"/>
      <c r="AK416" s="57"/>
      <c r="AL416" s="57"/>
      <c r="AM416" s="57"/>
      <c r="AN416" s="57"/>
      <c r="AO416" s="57"/>
      <c r="AP416" s="57"/>
      <c r="AQ416" s="57"/>
      <c r="AR416" s="57"/>
      <c r="AS416" s="57"/>
      <c r="AT416" s="57"/>
      <c r="AU416" s="58">
        <f t="shared" si="6"/>
        <v>-144.17476999999997</v>
      </c>
      <c r="AV416" s="58"/>
    </row>
    <row r="417" spans="1:48" ht="13.5" customHeight="1">
      <c r="A417" s="82">
        <v>415</v>
      </c>
      <c r="B417" s="85">
        <v>1017</v>
      </c>
      <c r="C417" s="85" t="s">
        <v>38</v>
      </c>
      <c r="D417" s="175">
        <v>186.51999999999998</v>
      </c>
      <c r="F417" s="45">
        <v>160</v>
      </c>
      <c r="G417" s="45">
        <v>150.38439375000002</v>
      </c>
      <c r="H417" s="56">
        <v>186.51999999999998</v>
      </c>
      <c r="I417" s="56">
        <v>186.51999999999998</v>
      </c>
      <c r="J417" s="148">
        <v>0</v>
      </c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  <c r="AH417" s="57"/>
      <c r="AI417" s="57"/>
      <c r="AJ417" s="57"/>
      <c r="AK417" s="57"/>
      <c r="AL417" s="57"/>
      <c r="AM417" s="57"/>
      <c r="AN417" s="57"/>
      <c r="AO417" s="57"/>
      <c r="AP417" s="57"/>
      <c r="AQ417" s="57"/>
      <c r="AR417" s="57"/>
      <c r="AS417" s="57"/>
      <c r="AT417" s="57"/>
      <c r="AU417" s="58">
        <f t="shared" si="6"/>
        <v>186.51999999999998</v>
      </c>
      <c r="AV417" s="58"/>
    </row>
    <row r="418" spans="1:48" ht="13.5" customHeight="1">
      <c r="A418" s="84">
        <v>416</v>
      </c>
      <c r="B418" s="85">
        <v>1048</v>
      </c>
      <c r="C418" s="85" t="s">
        <v>38</v>
      </c>
      <c r="D418" s="175">
        <v>-64.603380000000016</v>
      </c>
      <c r="F418" s="45">
        <v>320</v>
      </c>
      <c r="G418" s="45">
        <v>261</v>
      </c>
      <c r="H418" s="56">
        <v>200.11662000000001</v>
      </c>
      <c r="I418" s="56">
        <v>200.11662000000001</v>
      </c>
      <c r="J418" s="148">
        <v>0</v>
      </c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  <c r="AJ418" s="57"/>
      <c r="AK418" s="57"/>
      <c r="AL418" s="57"/>
      <c r="AM418" s="57"/>
      <c r="AN418" s="57"/>
      <c r="AO418" s="57">
        <v>264.72000000000003</v>
      </c>
      <c r="AP418" s="57"/>
      <c r="AQ418" s="57"/>
      <c r="AR418" s="57"/>
      <c r="AS418" s="57"/>
      <c r="AT418" s="57"/>
      <c r="AU418" s="58">
        <f t="shared" si="6"/>
        <v>-64.603380000000016</v>
      </c>
      <c r="AV418" s="58"/>
    </row>
    <row r="419" spans="1:48" ht="13.5" customHeight="1">
      <c r="A419" s="82">
        <v>417</v>
      </c>
      <c r="B419" s="85">
        <v>1049</v>
      </c>
      <c r="C419" s="85" t="s">
        <v>38</v>
      </c>
      <c r="D419" s="175">
        <v>109.99090000000001</v>
      </c>
      <c r="F419" s="45">
        <v>560</v>
      </c>
      <c r="G419" s="45">
        <v>428.41670999999997</v>
      </c>
      <c r="H419" s="56">
        <v>109.99090000000001</v>
      </c>
      <c r="I419" s="56">
        <v>109.99090000000001</v>
      </c>
      <c r="J419" s="148">
        <v>0</v>
      </c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  <c r="AH419" s="57"/>
      <c r="AI419" s="57"/>
      <c r="AJ419" s="57"/>
      <c r="AK419" s="57"/>
      <c r="AL419" s="57"/>
      <c r="AM419" s="57"/>
      <c r="AN419" s="57"/>
      <c r="AO419" s="57"/>
      <c r="AP419" s="57"/>
      <c r="AQ419" s="57"/>
      <c r="AR419" s="57"/>
      <c r="AS419" s="57"/>
      <c r="AT419" s="57"/>
      <c r="AU419" s="58">
        <f t="shared" si="6"/>
        <v>109.99090000000001</v>
      </c>
      <c r="AV419" s="58"/>
    </row>
    <row r="420" spans="1:48" ht="13.5" customHeight="1">
      <c r="A420" s="84">
        <v>418</v>
      </c>
      <c r="B420" s="85">
        <v>1054</v>
      </c>
      <c r="C420" s="85" t="s">
        <v>38</v>
      </c>
      <c r="D420" s="175">
        <v>326.05</v>
      </c>
      <c r="F420" s="45">
        <v>560</v>
      </c>
      <c r="G420" s="45">
        <v>595.06949999999995</v>
      </c>
      <c r="H420" s="56">
        <v>326.05</v>
      </c>
      <c r="I420" s="56">
        <v>326.05</v>
      </c>
      <c r="J420" s="148">
        <v>0</v>
      </c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  <c r="AH420" s="57"/>
      <c r="AI420" s="57"/>
      <c r="AJ420" s="57"/>
      <c r="AK420" s="57"/>
      <c r="AL420" s="57"/>
      <c r="AM420" s="57"/>
      <c r="AN420" s="57"/>
      <c r="AO420" s="57"/>
      <c r="AP420" s="57"/>
      <c r="AQ420" s="57"/>
      <c r="AR420" s="57"/>
      <c r="AS420" s="57"/>
      <c r="AT420" s="57"/>
      <c r="AU420" s="58">
        <f t="shared" si="6"/>
        <v>326.05</v>
      </c>
      <c r="AV420" s="58"/>
    </row>
    <row r="421" spans="1:48" ht="13.5" customHeight="1">
      <c r="A421" s="84">
        <v>419</v>
      </c>
      <c r="B421" s="85">
        <v>1056</v>
      </c>
      <c r="C421" s="85" t="s">
        <v>38</v>
      </c>
      <c r="D421" s="175">
        <v>-293.72799999999995</v>
      </c>
      <c r="F421" s="45">
        <v>400</v>
      </c>
      <c r="G421" s="45">
        <v>271.81549200000001</v>
      </c>
      <c r="H421" s="56">
        <v>-43.327999999999975</v>
      </c>
      <c r="I421" s="56">
        <v>-43.327999999999975</v>
      </c>
      <c r="J421" s="148">
        <v>0</v>
      </c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>
        <v>133.4</v>
      </c>
      <c r="AF421" s="57"/>
      <c r="AG421" s="57"/>
      <c r="AH421" s="57">
        <v>96</v>
      </c>
      <c r="AI421" s="57"/>
      <c r="AJ421" s="57">
        <v>21</v>
      </c>
      <c r="AK421" s="57"/>
      <c r="AL421" s="57"/>
      <c r="AM421" s="57"/>
      <c r="AN421" s="57"/>
      <c r="AO421" s="57"/>
      <c r="AP421" s="57"/>
      <c r="AQ421" s="57"/>
      <c r="AR421" s="57"/>
      <c r="AS421" s="57"/>
      <c r="AT421" s="57"/>
      <c r="AU421" s="58">
        <f t="shared" si="6"/>
        <v>-293.72799999999995</v>
      </c>
      <c r="AV421" s="58"/>
    </row>
    <row r="422" spans="1:48" ht="13.5" customHeight="1">
      <c r="A422" s="82">
        <v>420</v>
      </c>
      <c r="B422" s="85">
        <v>1057</v>
      </c>
      <c r="C422" s="85" t="s">
        <v>38</v>
      </c>
      <c r="D422" s="175">
        <v>423.53499999999997</v>
      </c>
      <c r="F422" s="45">
        <v>882</v>
      </c>
      <c r="G422" s="45">
        <v>480.2</v>
      </c>
      <c r="H422" s="56">
        <v>423.53499999999997</v>
      </c>
      <c r="I422" s="56">
        <v>423.53499999999997</v>
      </c>
      <c r="J422" s="148">
        <v>0</v>
      </c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57"/>
      <c r="AI422" s="57"/>
      <c r="AJ422" s="57"/>
      <c r="AK422" s="57"/>
      <c r="AL422" s="57"/>
      <c r="AM422" s="57"/>
      <c r="AN422" s="57"/>
      <c r="AO422" s="57"/>
      <c r="AP422" s="57"/>
      <c r="AQ422" s="57"/>
      <c r="AR422" s="57"/>
      <c r="AS422" s="57"/>
      <c r="AT422" s="57"/>
      <c r="AU422" s="58">
        <f t="shared" si="6"/>
        <v>423.53499999999997</v>
      </c>
      <c r="AV422" s="58"/>
    </row>
    <row r="423" spans="1:48" ht="13.5" customHeight="1">
      <c r="A423" s="84">
        <v>421</v>
      </c>
      <c r="B423" s="85">
        <v>1060</v>
      </c>
      <c r="C423" s="85" t="s">
        <v>38</v>
      </c>
      <c r="D423" s="175">
        <v>102.83999999999997</v>
      </c>
      <c r="F423" s="45">
        <v>560</v>
      </c>
      <c r="G423" s="45">
        <v>636.79800000000012</v>
      </c>
      <c r="H423" s="56">
        <v>152.83999999999997</v>
      </c>
      <c r="I423" s="56">
        <v>152.83999999999997</v>
      </c>
      <c r="J423" s="148">
        <v>0</v>
      </c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>
        <v>50</v>
      </c>
      <c r="Y423" s="57"/>
      <c r="Z423" s="57"/>
      <c r="AA423" s="57"/>
      <c r="AB423" s="57"/>
      <c r="AC423" s="57"/>
      <c r="AD423" s="57"/>
      <c r="AE423" s="57"/>
      <c r="AF423" s="57"/>
      <c r="AG423" s="57"/>
      <c r="AH423" s="57"/>
      <c r="AI423" s="57"/>
      <c r="AJ423" s="57"/>
      <c r="AK423" s="57"/>
      <c r="AL423" s="57"/>
      <c r="AM423" s="57"/>
      <c r="AN423" s="57"/>
      <c r="AO423" s="57"/>
      <c r="AP423" s="57"/>
      <c r="AQ423" s="57"/>
      <c r="AR423" s="57"/>
      <c r="AS423" s="57"/>
      <c r="AT423" s="57"/>
      <c r="AU423" s="58">
        <f t="shared" si="6"/>
        <v>102.83999999999997</v>
      </c>
      <c r="AV423" s="58"/>
    </row>
    <row r="424" spans="1:48" ht="13.5" customHeight="1">
      <c r="A424" s="82">
        <v>422</v>
      </c>
      <c r="B424" s="85">
        <v>1062</v>
      </c>
      <c r="C424" s="85" t="s">
        <v>38</v>
      </c>
      <c r="D424" s="175">
        <v>25.224000000000046</v>
      </c>
      <c r="F424" s="45">
        <v>560</v>
      </c>
      <c r="G424" s="45">
        <v>591.59782499999994</v>
      </c>
      <c r="H424" s="56">
        <v>25.224000000000046</v>
      </c>
      <c r="I424" s="56">
        <v>25.224000000000046</v>
      </c>
      <c r="J424" s="148">
        <v>0</v>
      </c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  <c r="AH424" s="57"/>
      <c r="AI424" s="57"/>
      <c r="AJ424" s="57"/>
      <c r="AK424" s="57"/>
      <c r="AL424" s="57"/>
      <c r="AM424" s="57"/>
      <c r="AN424" s="57"/>
      <c r="AO424" s="57"/>
      <c r="AP424" s="57"/>
      <c r="AQ424" s="57"/>
      <c r="AR424" s="57"/>
      <c r="AS424" s="57"/>
      <c r="AT424" s="57"/>
      <c r="AU424" s="58">
        <f t="shared" si="6"/>
        <v>25.224000000000046</v>
      </c>
      <c r="AV424" s="58"/>
    </row>
    <row r="425" spans="1:48" ht="13.5" customHeight="1">
      <c r="A425" s="84">
        <v>423</v>
      </c>
      <c r="B425" s="85">
        <v>1063</v>
      </c>
      <c r="C425" s="85" t="s">
        <v>38</v>
      </c>
      <c r="D425" s="175">
        <v>-553.21</v>
      </c>
      <c r="F425" s="45">
        <v>560</v>
      </c>
      <c r="G425" s="45">
        <v>538.29042375000006</v>
      </c>
      <c r="H425" s="56">
        <v>-354.40999999999997</v>
      </c>
      <c r="I425" s="56">
        <v>-354.40999999999997</v>
      </c>
      <c r="J425" s="148">
        <v>0</v>
      </c>
      <c r="K425" s="57"/>
      <c r="L425" s="57"/>
      <c r="M425" s="57"/>
      <c r="N425" s="57">
        <v>118.8</v>
      </c>
      <c r="O425" s="57"/>
      <c r="P425" s="57"/>
      <c r="Q425" s="57"/>
      <c r="R425" s="57"/>
      <c r="S425" s="57"/>
      <c r="T425" s="57"/>
      <c r="U425" s="57"/>
      <c r="V425" s="57">
        <v>80</v>
      </c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  <c r="AH425" s="57"/>
      <c r="AI425" s="57"/>
      <c r="AJ425" s="57"/>
      <c r="AK425" s="57"/>
      <c r="AL425" s="57"/>
      <c r="AM425" s="57"/>
      <c r="AN425" s="57"/>
      <c r="AO425" s="57"/>
      <c r="AP425" s="57"/>
      <c r="AQ425" s="57"/>
      <c r="AR425" s="57"/>
      <c r="AS425" s="57"/>
      <c r="AT425" s="57"/>
      <c r="AU425" s="58">
        <f t="shared" si="6"/>
        <v>-553.21</v>
      </c>
      <c r="AV425" s="58"/>
    </row>
    <row r="426" spans="1:48" ht="13.5" customHeight="1">
      <c r="A426" s="84">
        <v>424</v>
      </c>
      <c r="B426" s="85">
        <v>1067</v>
      </c>
      <c r="C426" s="85" t="s">
        <v>38</v>
      </c>
      <c r="D426" s="175">
        <v>158.47320000000002</v>
      </c>
      <c r="F426" s="45">
        <v>441</v>
      </c>
      <c r="G426" s="45">
        <v>420.67979999999994</v>
      </c>
      <c r="H426" s="56">
        <v>158.47320000000002</v>
      </c>
      <c r="I426" s="56">
        <v>158.47320000000002</v>
      </c>
      <c r="J426" s="148">
        <v>0</v>
      </c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  <c r="AH426" s="57"/>
      <c r="AI426" s="57"/>
      <c r="AJ426" s="57"/>
      <c r="AK426" s="57"/>
      <c r="AL426" s="57"/>
      <c r="AM426" s="57"/>
      <c r="AN426" s="57"/>
      <c r="AO426" s="57"/>
      <c r="AP426" s="57"/>
      <c r="AQ426" s="57"/>
      <c r="AR426" s="57"/>
      <c r="AS426" s="57"/>
      <c r="AT426" s="57"/>
      <c r="AU426" s="58">
        <f t="shared" si="6"/>
        <v>158.47320000000002</v>
      </c>
      <c r="AV426" s="58"/>
    </row>
    <row r="427" spans="1:48" ht="13.5" customHeight="1">
      <c r="A427" s="82">
        <v>425</v>
      </c>
      <c r="B427" s="85">
        <v>1068</v>
      </c>
      <c r="C427" s="85" t="s">
        <v>38</v>
      </c>
      <c r="D427" s="175">
        <v>-31.68060000000014</v>
      </c>
      <c r="F427" s="45">
        <v>560</v>
      </c>
      <c r="G427" s="45">
        <v>627.48960000000011</v>
      </c>
      <c r="H427" s="56">
        <v>-31.68060000000014</v>
      </c>
      <c r="I427" s="56">
        <v>-31.68060000000014</v>
      </c>
      <c r="J427" s="148">
        <v>0</v>
      </c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  <c r="AH427" s="57"/>
      <c r="AI427" s="57"/>
      <c r="AJ427" s="57"/>
      <c r="AK427" s="57"/>
      <c r="AL427" s="57"/>
      <c r="AM427" s="57"/>
      <c r="AN427" s="57"/>
      <c r="AO427" s="57"/>
      <c r="AP427" s="57"/>
      <c r="AQ427" s="57"/>
      <c r="AR427" s="57"/>
      <c r="AS427" s="57"/>
      <c r="AT427" s="57"/>
      <c r="AU427" s="58">
        <f t="shared" si="6"/>
        <v>-31.68060000000014</v>
      </c>
      <c r="AV427" s="58"/>
    </row>
    <row r="428" spans="1:48" ht="13.5" customHeight="1">
      <c r="A428" s="84">
        <v>426</v>
      </c>
      <c r="B428" s="85">
        <v>1070</v>
      </c>
      <c r="C428" s="85" t="s">
        <v>38</v>
      </c>
      <c r="D428" s="175">
        <v>28.64</v>
      </c>
      <c r="F428" s="45">
        <v>441</v>
      </c>
      <c r="G428" s="45">
        <v>485.21640000000002</v>
      </c>
      <c r="H428" s="56">
        <v>28.64</v>
      </c>
      <c r="I428" s="56">
        <v>28.64</v>
      </c>
      <c r="J428" s="148">
        <v>0</v>
      </c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  <c r="AH428" s="57"/>
      <c r="AI428" s="57"/>
      <c r="AJ428" s="57"/>
      <c r="AK428" s="57"/>
      <c r="AL428" s="57"/>
      <c r="AM428" s="57"/>
      <c r="AN428" s="57"/>
      <c r="AO428" s="57"/>
      <c r="AP428" s="57"/>
      <c r="AQ428" s="57"/>
      <c r="AR428" s="57"/>
      <c r="AS428" s="57"/>
      <c r="AT428" s="57"/>
      <c r="AU428" s="58">
        <f t="shared" si="6"/>
        <v>28.64</v>
      </c>
      <c r="AV428" s="58"/>
    </row>
    <row r="429" spans="1:48" ht="13.5" customHeight="1">
      <c r="A429" s="82">
        <v>427</v>
      </c>
      <c r="B429" s="85">
        <v>1071</v>
      </c>
      <c r="C429" s="85" t="s">
        <v>38</v>
      </c>
      <c r="D429" s="175">
        <v>13.620215000000002</v>
      </c>
      <c r="F429" s="45">
        <v>882</v>
      </c>
      <c r="G429" s="45">
        <v>526.32419000000004</v>
      </c>
      <c r="H429" s="56">
        <v>38.620215000000002</v>
      </c>
      <c r="I429" s="56">
        <v>38.620215000000002</v>
      </c>
      <c r="J429" s="148">
        <v>0</v>
      </c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  <c r="AH429" s="57"/>
      <c r="AI429" s="57"/>
      <c r="AJ429" s="57"/>
      <c r="AK429" s="57"/>
      <c r="AL429" s="57"/>
      <c r="AM429" s="57"/>
      <c r="AN429" s="57"/>
      <c r="AO429" s="57"/>
      <c r="AP429" s="57"/>
      <c r="AQ429" s="57">
        <v>25</v>
      </c>
      <c r="AR429" s="57"/>
      <c r="AS429" s="57"/>
      <c r="AT429" s="57"/>
      <c r="AU429" s="58">
        <f t="shared" si="6"/>
        <v>13.620215000000002</v>
      </c>
      <c r="AV429" s="58"/>
    </row>
    <row r="430" spans="1:48" ht="13.5" customHeight="1">
      <c r="A430" s="84">
        <v>428</v>
      </c>
      <c r="B430" s="85">
        <v>1072</v>
      </c>
      <c r="C430" s="85" t="s">
        <v>38</v>
      </c>
      <c r="D430" s="175">
        <v>91.75</v>
      </c>
      <c r="F430" s="45">
        <v>441</v>
      </c>
      <c r="G430" s="45">
        <v>426.69584999999995</v>
      </c>
      <c r="H430" s="56">
        <v>91.75</v>
      </c>
      <c r="I430" s="56">
        <v>91.75</v>
      </c>
      <c r="J430" s="148">
        <v>0</v>
      </c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  <c r="AH430" s="57"/>
      <c r="AI430" s="57"/>
      <c r="AJ430" s="57"/>
      <c r="AK430" s="57"/>
      <c r="AL430" s="57"/>
      <c r="AM430" s="57"/>
      <c r="AN430" s="57"/>
      <c r="AO430" s="57"/>
      <c r="AP430" s="57"/>
      <c r="AQ430" s="57"/>
      <c r="AR430" s="57"/>
      <c r="AS430" s="57"/>
      <c r="AT430" s="57"/>
      <c r="AU430" s="58">
        <f t="shared" si="6"/>
        <v>91.75</v>
      </c>
      <c r="AV430" s="58"/>
    </row>
    <row r="431" spans="1:48" ht="13.5" customHeight="1">
      <c r="A431" s="84">
        <v>429</v>
      </c>
      <c r="B431" s="85">
        <v>1073</v>
      </c>
      <c r="C431" s="85" t="s">
        <v>38</v>
      </c>
      <c r="D431" s="175">
        <v>-111.63594499564999</v>
      </c>
      <c r="F431" s="45">
        <v>441</v>
      </c>
      <c r="G431" s="45">
        <v>395.44979999999998</v>
      </c>
      <c r="H431" s="56">
        <v>-111.63594499564999</v>
      </c>
      <c r="I431" s="56">
        <v>-111.63594499564999</v>
      </c>
      <c r="J431" s="148">
        <v>0</v>
      </c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  <c r="AH431" s="57"/>
      <c r="AI431" s="57"/>
      <c r="AJ431" s="57"/>
      <c r="AK431" s="57"/>
      <c r="AL431" s="57"/>
      <c r="AM431" s="57"/>
      <c r="AN431" s="57"/>
      <c r="AO431" s="57"/>
      <c r="AP431" s="57"/>
      <c r="AQ431" s="57"/>
      <c r="AR431" s="57"/>
      <c r="AS431" s="57"/>
      <c r="AT431" s="57"/>
      <c r="AU431" s="58">
        <f t="shared" si="6"/>
        <v>-111.63594499564999</v>
      </c>
      <c r="AV431" s="58"/>
    </row>
    <row r="432" spans="1:48" ht="13.5" customHeight="1">
      <c r="A432" s="82">
        <v>430</v>
      </c>
      <c r="B432" s="85">
        <v>1074</v>
      </c>
      <c r="C432" s="85" t="s">
        <v>38</v>
      </c>
      <c r="D432" s="175">
        <v>76</v>
      </c>
      <c r="F432" s="45">
        <v>560</v>
      </c>
      <c r="G432" s="45">
        <v>603.34500000000003</v>
      </c>
      <c r="H432" s="56">
        <v>76</v>
      </c>
      <c r="I432" s="56">
        <v>76</v>
      </c>
      <c r="J432" s="148">
        <v>0</v>
      </c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  <c r="AH432" s="57"/>
      <c r="AI432" s="57"/>
      <c r="AJ432" s="57"/>
      <c r="AK432" s="57"/>
      <c r="AL432" s="57"/>
      <c r="AM432" s="57"/>
      <c r="AN432" s="57"/>
      <c r="AO432" s="57"/>
      <c r="AP432" s="57"/>
      <c r="AQ432" s="57"/>
      <c r="AR432" s="57"/>
      <c r="AS432" s="57"/>
      <c r="AT432" s="57"/>
      <c r="AU432" s="58">
        <f t="shared" si="6"/>
        <v>76</v>
      </c>
      <c r="AV432" s="58"/>
    </row>
    <row r="433" spans="1:48" ht="13.5" customHeight="1">
      <c r="A433" s="84">
        <v>431</v>
      </c>
      <c r="B433" s="85">
        <v>1075</v>
      </c>
      <c r="C433" s="85" t="s">
        <v>38</v>
      </c>
      <c r="D433" s="175">
        <v>-10.899999999999977</v>
      </c>
      <c r="F433" s="45">
        <v>560</v>
      </c>
      <c r="G433" s="45">
        <v>595.05042000000003</v>
      </c>
      <c r="H433" s="56">
        <v>53.100000000000023</v>
      </c>
      <c r="I433" s="56">
        <v>53.100000000000023</v>
      </c>
      <c r="J433" s="148">
        <v>0</v>
      </c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  <c r="AH433" s="57"/>
      <c r="AI433" s="57"/>
      <c r="AJ433" s="57"/>
      <c r="AK433" s="57"/>
      <c r="AL433" s="57"/>
      <c r="AM433" s="57"/>
      <c r="AN433" s="57"/>
      <c r="AO433" s="57"/>
      <c r="AP433" s="57">
        <v>64</v>
      </c>
      <c r="AQ433" s="57"/>
      <c r="AR433" s="57"/>
      <c r="AS433" s="57"/>
      <c r="AT433" s="57"/>
      <c r="AU433" s="58">
        <f t="shared" si="6"/>
        <v>-10.899999999999977</v>
      </c>
      <c r="AV433" s="58"/>
    </row>
    <row r="434" spans="1:48" ht="13.5" customHeight="1">
      <c r="A434" s="82">
        <v>432</v>
      </c>
      <c r="B434" s="85">
        <v>1076</v>
      </c>
      <c r="C434" s="85" t="s">
        <v>38</v>
      </c>
      <c r="D434" s="175">
        <v>78.475652499999967</v>
      </c>
      <c r="F434" s="45">
        <v>882</v>
      </c>
      <c r="G434" s="45">
        <v>686.54223000000002</v>
      </c>
      <c r="H434" s="56">
        <v>78.475652499999967</v>
      </c>
      <c r="I434" s="56">
        <v>78.475652499999967</v>
      </c>
      <c r="J434" s="148">
        <v>0</v>
      </c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  <c r="AH434" s="57"/>
      <c r="AI434" s="57"/>
      <c r="AJ434" s="57"/>
      <c r="AK434" s="57"/>
      <c r="AL434" s="57"/>
      <c r="AM434" s="57"/>
      <c r="AN434" s="57"/>
      <c r="AO434" s="57"/>
      <c r="AP434" s="57"/>
      <c r="AQ434" s="57"/>
      <c r="AR434" s="57"/>
      <c r="AS434" s="57"/>
      <c r="AT434" s="57"/>
      <c r="AU434" s="58">
        <f t="shared" si="6"/>
        <v>78.475652499999967</v>
      </c>
      <c r="AV434" s="58"/>
    </row>
    <row r="435" spans="1:48" ht="13.5" customHeight="1">
      <c r="A435" s="84">
        <v>433</v>
      </c>
      <c r="B435" s="85">
        <v>1077</v>
      </c>
      <c r="C435" s="85" t="s">
        <v>38</v>
      </c>
      <c r="D435" s="175">
        <v>-55.920000000000016</v>
      </c>
      <c r="F435" s="45">
        <v>250</v>
      </c>
      <c r="G435" s="45">
        <v>95.443785000000005</v>
      </c>
      <c r="H435" s="56">
        <v>144.07999999999998</v>
      </c>
      <c r="I435" s="56">
        <v>144.07999999999998</v>
      </c>
      <c r="J435" s="148">
        <v>0</v>
      </c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  <c r="AH435" s="57"/>
      <c r="AI435" s="57"/>
      <c r="AJ435" s="57"/>
      <c r="AK435" s="57"/>
      <c r="AL435" s="57"/>
      <c r="AM435" s="57"/>
      <c r="AN435" s="57"/>
      <c r="AO435" s="57"/>
      <c r="AP435" s="57"/>
      <c r="AQ435" s="57"/>
      <c r="AR435" s="57"/>
      <c r="AS435" s="57"/>
      <c r="AT435" s="57">
        <v>200</v>
      </c>
      <c r="AU435" s="58">
        <f t="shared" si="6"/>
        <v>-55.920000000000016</v>
      </c>
      <c r="AV435" s="58"/>
    </row>
    <row r="436" spans="1:48" ht="13.5" customHeight="1">
      <c r="A436" s="84">
        <v>434</v>
      </c>
      <c r="B436" s="85">
        <v>1080</v>
      </c>
      <c r="C436" s="85" t="s">
        <v>38</v>
      </c>
      <c r="D436" s="175">
        <v>74.933549999999997</v>
      </c>
      <c r="F436" s="45">
        <v>400</v>
      </c>
      <c r="G436" s="45">
        <v>218.21318249999999</v>
      </c>
      <c r="H436" s="56">
        <v>90.933549999999997</v>
      </c>
      <c r="I436" s="56">
        <v>90.933549999999997</v>
      </c>
      <c r="J436" s="148">
        <v>0</v>
      </c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>
        <v>16</v>
      </c>
      <c r="AD436" s="57"/>
      <c r="AE436" s="57"/>
      <c r="AF436" s="57"/>
      <c r="AG436" s="57"/>
      <c r="AH436" s="57"/>
      <c r="AI436" s="57"/>
      <c r="AJ436" s="57"/>
      <c r="AK436" s="57"/>
      <c r="AL436" s="57"/>
      <c r="AM436" s="57"/>
      <c r="AN436" s="57"/>
      <c r="AO436" s="57"/>
      <c r="AP436" s="57"/>
      <c r="AQ436" s="57"/>
      <c r="AR436" s="57"/>
      <c r="AS436" s="57"/>
      <c r="AT436" s="57"/>
      <c r="AU436" s="58">
        <f t="shared" si="6"/>
        <v>74.933549999999997</v>
      </c>
      <c r="AV436" s="58"/>
    </row>
    <row r="437" spans="1:48" ht="13.5" customHeight="1">
      <c r="A437" s="82">
        <v>435</v>
      </c>
      <c r="B437" s="85">
        <v>1083</v>
      </c>
      <c r="C437" s="85" t="s">
        <v>38</v>
      </c>
      <c r="D437" s="175">
        <v>671.75080000000003</v>
      </c>
      <c r="F437" s="45">
        <v>400</v>
      </c>
      <c r="G437" s="45">
        <v>195.11315999999999</v>
      </c>
      <c r="H437" s="56">
        <v>671.75080000000003</v>
      </c>
      <c r="I437" s="56">
        <v>671.75080000000003</v>
      </c>
      <c r="J437" s="148">
        <v>0</v>
      </c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  <c r="AH437" s="57"/>
      <c r="AI437" s="57"/>
      <c r="AJ437" s="57"/>
      <c r="AK437" s="57"/>
      <c r="AL437" s="57"/>
      <c r="AM437" s="57"/>
      <c r="AN437" s="57"/>
      <c r="AO437" s="57"/>
      <c r="AP437" s="57"/>
      <c r="AQ437" s="57"/>
      <c r="AR437" s="57"/>
      <c r="AS437" s="57"/>
      <c r="AT437" s="57"/>
      <c r="AU437" s="58">
        <f t="shared" si="6"/>
        <v>671.75080000000003</v>
      </c>
      <c r="AV437" s="58"/>
    </row>
    <row r="438" spans="1:48" ht="13.5" customHeight="1">
      <c r="A438" s="84">
        <v>436</v>
      </c>
      <c r="B438" s="85">
        <v>1084</v>
      </c>
      <c r="C438" s="85" t="s">
        <v>38</v>
      </c>
      <c r="D438" s="175">
        <v>176.620712</v>
      </c>
      <c r="F438" s="45">
        <v>400</v>
      </c>
      <c r="G438" s="45">
        <v>444</v>
      </c>
      <c r="H438" s="56">
        <v>176.620712</v>
      </c>
      <c r="I438" s="56">
        <v>176.620712</v>
      </c>
      <c r="J438" s="148">
        <v>0</v>
      </c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  <c r="AH438" s="57"/>
      <c r="AI438" s="57"/>
      <c r="AJ438" s="57"/>
      <c r="AK438" s="57"/>
      <c r="AL438" s="57"/>
      <c r="AM438" s="57"/>
      <c r="AN438" s="57"/>
      <c r="AO438" s="57"/>
      <c r="AP438" s="57"/>
      <c r="AQ438" s="57"/>
      <c r="AR438" s="57"/>
      <c r="AS438" s="57"/>
      <c r="AT438" s="57"/>
      <c r="AU438" s="58">
        <f t="shared" si="6"/>
        <v>176.620712</v>
      </c>
      <c r="AV438" s="58"/>
    </row>
    <row r="439" spans="1:48" ht="13.5" customHeight="1">
      <c r="A439" s="82">
        <v>437</v>
      </c>
      <c r="B439" s="85">
        <v>1085</v>
      </c>
      <c r="C439" s="85" t="s">
        <v>38</v>
      </c>
      <c r="D439" s="175">
        <v>-53.945999999999913</v>
      </c>
      <c r="F439" s="45">
        <v>350</v>
      </c>
      <c r="G439" s="45">
        <v>256.82835</v>
      </c>
      <c r="H439" s="56">
        <v>-53.945999999999913</v>
      </c>
      <c r="I439" s="56">
        <v>-53.945999999999913</v>
      </c>
      <c r="J439" s="148">
        <v>0</v>
      </c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  <c r="AH439" s="57"/>
      <c r="AI439" s="57"/>
      <c r="AJ439" s="57"/>
      <c r="AK439" s="57"/>
      <c r="AL439" s="57"/>
      <c r="AM439" s="57"/>
      <c r="AN439" s="57"/>
      <c r="AO439" s="57"/>
      <c r="AP439" s="57"/>
      <c r="AQ439" s="57"/>
      <c r="AR439" s="57"/>
      <c r="AS439" s="57"/>
      <c r="AT439" s="57"/>
      <c r="AU439" s="58">
        <f t="shared" si="6"/>
        <v>-53.945999999999913</v>
      </c>
      <c r="AV439" s="58"/>
    </row>
    <row r="440" spans="1:48" ht="13.5" customHeight="1">
      <c r="A440" s="84">
        <v>438</v>
      </c>
      <c r="B440" s="85">
        <v>1086</v>
      </c>
      <c r="C440" s="85" t="s">
        <v>38</v>
      </c>
      <c r="D440" s="175">
        <v>-632.91</v>
      </c>
      <c r="F440" s="45">
        <v>160</v>
      </c>
      <c r="G440" s="45">
        <v>130.15199999999999</v>
      </c>
      <c r="H440" s="56">
        <v>-15.110000000000014</v>
      </c>
      <c r="I440" s="56">
        <v>-15.110000000000014</v>
      </c>
      <c r="J440" s="148">
        <v>0</v>
      </c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  <c r="AH440" s="57"/>
      <c r="AI440" s="57"/>
      <c r="AJ440" s="57"/>
      <c r="AK440" s="117">
        <v>617.79999999999995</v>
      </c>
      <c r="AL440" s="117"/>
      <c r="AM440" s="117"/>
      <c r="AN440" s="117"/>
      <c r="AO440" s="117"/>
      <c r="AP440" s="117"/>
      <c r="AQ440" s="117"/>
      <c r="AR440" s="117"/>
      <c r="AS440" s="117"/>
      <c r="AT440" s="117"/>
      <c r="AU440" s="58">
        <f t="shared" si="6"/>
        <v>-632.91</v>
      </c>
      <c r="AV440" s="58"/>
    </row>
    <row r="441" spans="1:48" ht="13.5" customHeight="1">
      <c r="A441" s="84">
        <v>439</v>
      </c>
      <c r="B441" s="85">
        <v>1090</v>
      </c>
      <c r="C441" s="85" t="s">
        <v>38</v>
      </c>
      <c r="D441" s="175">
        <v>241.45613499999999</v>
      </c>
      <c r="F441" s="45">
        <v>882</v>
      </c>
      <c r="G441" s="45">
        <v>406.60199999999998</v>
      </c>
      <c r="H441" s="56">
        <v>241.45613499999999</v>
      </c>
      <c r="I441" s="56">
        <v>241.45613499999999</v>
      </c>
      <c r="J441" s="148">
        <v>0</v>
      </c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  <c r="AH441" s="57"/>
      <c r="AI441" s="57"/>
      <c r="AJ441" s="57"/>
      <c r="AK441" s="57"/>
      <c r="AL441" s="57"/>
      <c r="AM441" s="57"/>
      <c r="AN441" s="57"/>
      <c r="AO441" s="57"/>
      <c r="AP441" s="57"/>
      <c r="AQ441" s="57"/>
      <c r="AR441" s="57"/>
      <c r="AS441" s="57"/>
      <c r="AT441" s="57"/>
      <c r="AU441" s="58">
        <f t="shared" si="6"/>
        <v>241.45613499999999</v>
      </c>
      <c r="AV441" s="58"/>
    </row>
    <row r="442" spans="1:48" ht="13.5" customHeight="1">
      <c r="A442" s="82">
        <v>440</v>
      </c>
      <c r="B442" s="85">
        <v>1092</v>
      </c>
      <c r="C442" s="85" t="s">
        <v>38</v>
      </c>
      <c r="D442" s="175">
        <v>-380.99384375</v>
      </c>
      <c r="F442" s="45">
        <v>882</v>
      </c>
      <c r="G442" s="45">
        <v>893.08160000000009</v>
      </c>
      <c r="H442" s="56">
        <v>194.80615625000002</v>
      </c>
      <c r="I442" s="56">
        <v>194.80615625000002</v>
      </c>
      <c r="J442" s="148">
        <v>0</v>
      </c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>
        <v>83</v>
      </c>
      <c r="V442" s="57"/>
      <c r="W442" s="57"/>
      <c r="X442" s="57">
        <v>201.6</v>
      </c>
      <c r="Y442" s="57"/>
      <c r="Z442" s="57"/>
      <c r="AA442" s="57"/>
      <c r="AB442" s="57"/>
      <c r="AC442" s="57"/>
      <c r="AD442" s="57"/>
      <c r="AE442" s="57"/>
      <c r="AF442" s="57"/>
      <c r="AG442" s="57"/>
      <c r="AH442" s="57"/>
      <c r="AI442" s="57"/>
      <c r="AJ442" s="57"/>
      <c r="AK442" s="57"/>
      <c r="AL442" s="57"/>
      <c r="AM442" s="57">
        <v>30</v>
      </c>
      <c r="AN442" s="57"/>
      <c r="AO442" s="57">
        <v>261.2</v>
      </c>
      <c r="AP442" s="57"/>
      <c r="AQ442" s="57"/>
      <c r="AR442" s="57"/>
      <c r="AS442" s="57"/>
      <c r="AT442" s="57"/>
      <c r="AU442" s="58">
        <f t="shared" si="6"/>
        <v>-380.99384375</v>
      </c>
      <c r="AV442" s="58"/>
    </row>
    <row r="443" spans="1:48" ht="13.5" customHeight="1">
      <c r="A443" s="84">
        <v>441</v>
      </c>
      <c r="B443" s="85">
        <v>1093</v>
      </c>
      <c r="C443" s="85" t="s">
        <v>38</v>
      </c>
      <c r="D443" s="175">
        <v>34.599999999999994</v>
      </c>
      <c r="F443" s="45">
        <v>350</v>
      </c>
      <c r="G443" s="45">
        <v>386.09399999999999</v>
      </c>
      <c r="H443" s="56">
        <v>34.599999999999994</v>
      </c>
      <c r="I443" s="56">
        <v>34.599999999999994</v>
      </c>
      <c r="J443" s="148">
        <v>0</v>
      </c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  <c r="AF443" s="57"/>
      <c r="AG443" s="57"/>
      <c r="AH443" s="57"/>
      <c r="AI443" s="57"/>
      <c r="AJ443" s="57"/>
      <c r="AK443" s="57"/>
      <c r="AL443" s="57"/>
      <c r="AM443" s="57"/>
      <c r="AN443" s="57"/>
      <c r="AO443" s="57"/>
      <c r="AP443" s="57"/>
      <c r="AQ443" s="57"/>
      <c r="AR443" s="57"/>
      <c r="AS443" s="57"/>
      <c r="AT443" s="57"/>
      <c r="AU443" s="58">
        <f t="shared" si="6"/>
        <v>34.599999999999994</v>
      </c>
      <c r="AV443" s="58"/>
    </row>
    <row r="444" spans="1:48" ht="13.5" customHeight="1">
      <c r="A444" s="82">
        <v>442</v>
      </c>
      <c r="B444" s="85">
        <v>1095</v>
      </c>
      <c r="C444" s="85" t="s">
        <v>38</v>
      </c>
      <c r="D444" s="175">
        <v>77.355662499999994</v>
      </c>
      <c r="F444" s="45">
        <v>400</v>
      </c>
      <c r="G444" s="45">
        <v>153.83992499999999</v>
      </c>
      <c r="H444" s="56">
        <v>105.35566249999999</v>
      </c>
      <c r="I444" s="56">
        <v>105.35566249999999</v>
      </c>
      <c r="J444" s="148">
        <v>0</v>
      </c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>
        <v>28</v>
      </c>
      <c r="AD444" s="57"/>
      <c r="AE444" s="57"/>
      <c r="AF444" s="57"/>
      <c r="AG444" s="57"/>
      <c r="AH444" s="57"/>
      <c r="AI444" s="57"/>
      <c r="AJ444" s="57"/>
      <c r="AK444" s="57"/>
      <c r="AL444" s="57"/>
      <c r="AM444" s="57"/>
      <c r="AN444" s="57"/>
      <c r="AO444" s="57"/>
      <c r="AP444" s="57"/>
      <c r="AQ444" s="57"/>
      <c r="AR444" s="57"/>
      <c r="AS444" s="57"/>
      <c r="AT444" s="57"/>
      <c r="AU444" s="58">
        <f t="shared" si="6"/>
        <v>77.355662499999994</v>
      </c>
      <c r="AV444" s="58"/>
    </row>
    <row r="445" spans="1:48" ht="13.5" customHeight="1">
      <c r="A445" s="84">
        <v>443</v>
      </c>
      <c r="B445" s="85">
        <v>1096</v>
      </c>
      <c r="C445" s="85" t="s">
        <v>38</v>
      </c>
      <c r="D445" s="175">
        <v>104.925015</v>
      </c>
      <c r="F445" s="45">
        <v>400</v>
      </c>
      <c r="G445" s="45">
        <v>198.83849999999998</v>
      </c>
      <c r="H445" s="56">
        <v>104.925015</v>
      </c>
      <c r="I445" s="56">
        <v>104.925015</v>
      </c>
      <c r="J445" s="148">
        <v>0</v>
      </c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57"/>
      <c r="AF445" s="57"/>
      <c r="AG445" s="57"/>
      <c r="AH445" s="57"/>
      <c r="AI445" s="57"/>
      <c r="AJ445" s="57"/>
      <c r="AK445" s="57"/>
      <c r="AL445" s="57"/>
      <c r="AM445" s="57"/>
      <c r="AN445" s="57"/>
      <c r="AO445" s="57"/>
      <c r="AP445" s="57"/>
      <c r="AQ445" s="57"/>
      <c r="AR445" s="57"/>
      <c r="AS445" s="57"/>
      <c r="AT445" s="57"/>
      <c r="AU445" s="58">
        <f t="shared" si="6"/>
        <v>104.925015</v>
      </c>
      <c r="AV445" s="58"/>
    </row>
    <row r="446" spans="1:48" ht="13.5" customHeight="1">
      <c r="A446" s="84">
        <v>444</v>
      </c>
      <c r="B446" s="85">
        <v>1102</v>
      </c>
      <c r="C446" s="85" t="s">
        <v>38</v>
      </c>
      <c r="D446" s="175">
        <v>225.35399999999998</v>
      </c>
      <c r="F446" s="45">
        <v>350</v>
      </c>
      <c r="G446" s="45">
        <v>405.54875999999996</v>
      </c>
      <c r="H446" s="56">
        <v>225.35399999999998</v>
      </c>
      <c r="I446" s="56">
        <v>225.35399999999998</v>
      </c>
      <c r="J446" s="148">
        <v>0</v>
      </c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57"/>
      <c r="AF446" s="57"/>
      <c r="AG446" s="57"/>
      <c r="AH446" s="57"/>
      <c r="AI446" s="57"/>
      <c r="AJ446" s="57"/>
      <c r="AK446" s="57"/>
      <c r="AL446" s="57"/>
      <c r="AM446" s="57"/>
      <c r="AN446" s="57"/>
      <c r="AO446" s="57"/>
      <c r="AP446" s="57"/>
      <c r="AQ446" s="57"/>
      <c r="AR446" s="57"/>
      <c r="AS446" s="57"/>
      <c r="AT446" s="57"/>
      <c r="AU446" s="58">
        <f t="shared" si="6"/>
        <v>225.35399999999998</v>
      </c>
      <c r="AV446" s="58"/>
    </row>
    <row r="447" spans="1:48" ht="13.5" customHeight="1">
      <c r="A447" s="82">
        <v>445</v>
      </c>
      <c r="B447" s="85">
        <v>1106</v>
      </c>
      <c r="C447" s="85" t="s">
        <v>38</v>
      </c>
      <c r="D447" s="175">
        <v>41.694500000000033</v>
      </c>
      <c r="F447" s="45">
        <v>560</v>
      </c>
      <c r="G447" s="45">
        <v>617.6560649999999</v>
      </c>
      <c r="H447" s="56">
        <v>41.694500000000033</v>
      </c>
      <c r="I447" s="56">
        <v>41.694500000000033</v>
      </c>
      <c r="J447" s="148">
        <v>0</v>
      </c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57"/>
      <c r="AF447" s="57"/>
      <c r="AG447" s="57"/>
      <c r="AH447" s="57"/>
      <c r="AI447" s="57"/>
      <c r="AJ447" s="57"/>
      <c r="AK447" s="57"/>
      <c r="AL447" s="57"/>
      <c r="AM447" s="57"/>
      <c r="AN447" s="57"/>
      <c r="AO447" s="57"/>
      <c r="AP447" s="57"/>
      <c r="AQ447" s="57"/>
      <c r="AR447" s="57"/>
      <c r="AS447" s="57"/>
      <c r="AT447" s="57"/>
      <c r="AU447" s="58">
        <f t="shared" si="6"/>
        <v>41.694500000000033</v>
      </c>
      <c r="AV447" s="58"/>
    </row>
    <row r="448" spans="1:48" ht="13.5" customHeight="1">
      <c r="A448" s="84">
        <v>446</v>
      </c>
      <c r="B448" s="85">
        <v>1111</v>
      </c>
      <c r="C448" s="85" t="s">
        <v>38</v>
      </c>
      <c r="D448" s="175">
        <v>157.469052</v>
      </c>
      <c r="F448" s="45">
        <v>560</v>
      </c>
      <c r="G448" s="45">
        <v>388.35059999999999</v>
      </c>
      <c r="H448" s="56">
        <v>173.469052</v>
      </c>
      <c r="I448" s="56">
        <v>173.469052</v>
      </c>
      <c r="J448" s="148">
        <v>0</v>
      </c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57"/>
      <c r="AF448" s="57"/>
      <c r="AG448" s="57"/>
      <c r="AH448" s="57"/>
      <c r="AI448" s="57"/>
      <c r="AJ448" s="57"/>
      <c r="AK448" s="57"/>
      <c r="AL448" s="57"/>
      <c r="AM448" s="57"/>
      <c r="AN448" s="57"/>
      <c r="AO448" s="57">
        <v>16</v>
      </c>
      <c r="AP448" s="57"/>
      <c r="AQ448" s="57"/>
      <c r="AR448" s="57"/>
      <c r="AS448" s="57"/>
      <c r="AT448" s="57"/>
      <c r="AU448" s="58">
        <f t="shared" si="6"/>
        <v>157.469052</v>
      </c>
      <c r="AV448" s="58"/>
    </row>
    <row r="449" spans="1:48" ht="13.5" customHeight="1">
      <c r="A449" s="82">
        <v>447</v>
      </c>
      <c r="B449" s="85">
        <v>1113</v>
      </c>
      <c r="C449" s="85" t="s">
        <v>38</v>
      </c>
      <c r="D449" s="175">
        <v>179.3125</v>
      </c>
      <c r="F449" s="45">
        <v>630</v>
      </c>
      <c r="G449" s="45">
        <v>319.18060000000003</v>
      </c>
      <c r="H449" s="56">
        <v>179.3125</v>
      </c>
      <c r="I449" s="56">
        <v>179.3125</v>
      </c>
      <c r="J449" s="148">
        <v>0</v>
      </c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57"/>
      <c r="AF449" s="57"/>
      <c r="AG449" s="57"/>
      <c r="AH449" s="57"/>
      <c r="AI449" s="57"/>
      <c r="AJ449" s="57"/>
      <c r="AK449" s="57"/>
      <c r="AL449" s="57"/>
      <c r="AM449" s="57"/>
      <c r="AN449" s="57"/>
      <c r="AO449" s="57"/>
      <c r="AP449" s="57"/>
      <c r="AQ449" s="57"/>
      <c r="AR449" s="57"/>
      <c r="AS449" s="57"/>
      <c r="AT449" s="57"/>
      <c r="AU449" s="58">
        <f t="shared" si="6"/>
        <v>179.3125</v>
      </c>
      <c r="AV449" s="58"/>
    </row>
    <row r="450" spans="1:48" ht="13.5" customHeight="1">
      <c r="A450" s="84">
        <v>448</v>
      </c>
      <c r="B450" s="85">
        <v>1114</v>
      </c>
      <c r="C450" s="85" t="s">
        <v>38</v>
      </c>
      <c r="D450" s="175">
        <v>-100.1</v>
      </c>
      <c r="F450" s="45">
        <v>560</v>
      </c>
      <c r="G450" s="45">
        <v>606.27657375000001</v>
      </c>
      <c r="H450" s="56">
        <v>49.900000000000006</v>
      </c>
      <c r="I450" s="56">
        <v>49.900000000000006</v>
      </c>
      <c r="J450" s="148">
        <v>0</v>
      </c>
      <c r="K450" s="57"/>
      <c r="L450" s="57">
        <v>50</v>
      </c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57"/>
      <c r="AF450" s="57"/>
      <c r="AG450" s="57"/>
      <c r="AH450" s="57"/>
      <c r="AI450" s="57"/>
      <c r="AJ450" s="57"/>
      <c r="AK450" s="57"/>
      <c r="AL450" s="57"/>
      <c r="AM450" s="57"/>
      <c r="AN450" s="57">
        <v>100</v>
      </c>
      <c r="AO450" s="57"/>
      <c r="AP450" s="57"/>
      <c r="AQ450" s="57"/>
      <c r="AR450" s="57"/>
      <c r="AS450" s="57"/>
      <c r="AT450" s="57"/>
      <c r="AU450" s="58">
        <f t="shared" si="6"/>
        <v>-100.1</v>
      </c>
      <c r="AV450" s="58"/>
    </row>
    <row r="451" spans="1:48" ht="13.5" customHeight="1">
      <c r="A451" s="84">
        <v>449</v>
      </c>
      <c r="B451" s="85">
        <v>1120</v>
      </c>
      <c r="C451" s="85" t="s">
        <v>38</v>
      </c>
      <c r="D451" s="175">
        <v>95.5</v>
      </c>
      <c r="F451" s="45">
        <v>251.99999999999997</v>
      </c>
      <c r="G451" s="45">
        <v>229.5669</v>
      </c>
      <c r="H451" s="56">
        <v>95.5</v>
      </c>
      <c r="I451" s="56">
        <v>95.5</v>
      </c>
      <c r="J451" s="148">
        <v>0</v>
      </c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57"/>
      <c r="AF451" s="57"/>
      <c r="AG451" s="57"/>
      <c r="AH451" s="57"/>
      <c r="AI451" s="57"/>
      <c r="AJ451" s="57"/>
      <c r="AK451" s="57"/>
      <c r="AL451" s="57"/>
      <c r="AM451" s="57"/>
      <c r="AN451" s="57"/>
      <c r="AO451" s="57"/>
      <c r="AP451" s="57"/>
      <c r="AQ451" s="57"/>
      <c r="AR451" s="57"/>
      <c r="AS451" s="57"/>
      <c r="AT451" s="57"/>
      <c r="AU451" s="58">
        <f t="shared" si="6"/>
        <v>95.5</v>
      </c>
      <c r="AV451" s="58"/>
    </row>
    <row r="452" spans="1:48" ht="13.5" customHeight="1">
      <c r="A452" s="82">
        <v>450</v>
      </c>
      <c r="B452" s="85">
        <v>1124</v>
      </c>
      <c r="C452" s="85" t="s">
        <v>38</v>
      </c>
      <c r="D452" s="175">
        <v>60</v>
      </c>
      <c r="F452" s="45">
        <v>350</v>
      </c>
      <c r="G452" s="45">
        <v>279.315675</v>
      </c>
      <c r="H452" s="56">
        <v>60</v>
      </c>
      <c r="I452" s="56">
        <v>60</v>
      </c>
      <c r="J452" s="148">
        <v>0</v>
      </c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57"/>
      <c r="AF452" s="57"/>
      <c r="AG452" s="57"/>
      <c r="AH452" s="57"/>
      <c r="AI452" s="57"/>
      <c r="AJ452" s="57"/>
      <c r="AK452" s="57"/>
      <c r="AL452" s="57"/>
      <c r="AM452" s="57"/>
      <c r="AN452" s="57"/>
      <c r="AO452" s="57"/>
      <c r="AP452" s="57"/>
      <c r="AQ452" s="57"/>
      <c r="AR452" s="57"/>
      <c r="AS452" s="57"/>
      <c r="AT452" s="57"/>
      <c r="AU452" s="58">
        <f t="shared" ref="AU452:AU515" si="7">I452-J452-K452-L452-M452-N452-O452-P452-Q452-R452-S452-T452-U452-V452-W452-X452-Y452-Z452-AA452-AB452-AC452-AD452-AE452-AF452-AG452-AH452-AI452-AJ452-AK452-AL452-AM452-AN452-AO452-AP452-AQ452-AR452-AS452-AT452</f>
        <v>60</v>
      </c>
      <c r="AV452" s="58"/>
    </row>
    <row r="453" spans="1:48" ht="13.5" customHeight="1">
      <c r="A453" s="84">
        <v>451</v>
      </c>
      <c r="B453" s="85">
        <v>1127</v>
      </c>
      <c r="C453" s="85" t="s">
        <v>38</v>
      </c>
      <c r="D453" s="175">
        <v>253.27999999999997</v>
      </c>
      <c r="F453" s="45">
        <v>882</v>
      </c>
      <c r="G453" s="45">
        <v>882.01209000000006</v>
      </c>
      <c r="H453" s="56">
        <v>253.27999999999997</v>
      </c>
      <c r="I453" s="56">
        <v>253.27999999999997</v>
      </c>
      <c r="J453" s="148">
        <v>0</v>
      </c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57"/>
      <c r="AF453" s="57"/>
      <c r="AG453" s="57"/>
      <c r="AH453" s="57"/>
      <c r="AI453" s="57"/>
      <c r="AJ453" s="57"/>
      <c r="AK453" s="57"/>
      <c r="AL453" s="57"/>
      <c r="AM453" s="57"/>
      <c r="AN453" s="57"/>
      <c r="AO453" s="57"/>
      <c r="AP453" s="57"/>
      <c r="AQ453" s="57"/>
      <c r="AR453" s="57"/>
      <c r="AS453" s="57"/>
      <c r="AT453" s="57"/>
      <c r="AU453" s="58">
        <f t="shared" si="7"/>
        <v>253.27999999999997</v>
      </c>
      <c r="AV453" s="58"/>
    </row>
    <row r="454" spans="1:48" ht="13.5" customHeight="1">
      <c r="A454" s="82">
        <v>452</v>
      </c>
      <c r="B454" s="85">
        <v>1128</v>
      </c>
      <c r="C454" s="85" t="s">
        <v>38</v>
      </c>
      <c r="D454" s="175">
        <v>137.72800000000001</v>
      </c>
      <c r="F454" s="45">
        <v>560</v>
      </c>
      <c r="G454" s="45">
        <v>584</v>
      </c>
      <c r="H454" s="56">
        <v>137.72800000000001</v>
      </c>
      <c r="I454" s="56">
        <v>137.72800000000001</v>
      </c>
      <c r="J454" s="148">
        <v>0</v>
      </c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57"/>
      <c r="AF454" s="57"/>
      <c r="AG454" s="57"/>
      <c r="AH454" s="57"/>
      <c r="AI454" s="57"/>
      <c r="AJ454" s="57"/>
      <c r="AK454" s="57"/>
      <c r="AL454" s="57"/>
      <c r="AM454" s="57"/>
      <c r="AN454" s="57"/>
      <c r="AO454" s="57"/>
      <c r="AP454" s="57"/>
      <c r="AQ454" s="57"/>
      <c r="AR454" s="57"/>
      <c r="AS454" s="57"/>
      <c r="AT454" s="57"/>
      <c r="AU454" s="58">
        <f t="shared" si="7"/>
        <v>137.72800000000001</v>
      </c>
      <c r="AV454" s="58"/>
    </row>
    <row r="455" spans="1:48" ht="13.5" customHeight="1">
      <c r="A455" s="84">
        <v>453</v>
      </c>
      <c r="B455" s="85">
        <v>1129</v>
      </c>
      <c r="C455" s="85" t="s">
        <v>38</v>
      </c>
      <c r="D455" s="175">
        <v>-119.77886500000002</v>
      </c>
      <c r="F455" s="45">
        <v>560</v>
      </c>
      <c r="G455" s="45">
        <v>587.74400000000003</v>
      </c>
      <c r="H455" s="56">
        <v>-19.778865000000025</v>
      </c>
      <c r="I455" s="56">
        <v>-19.778865000000025</v>
      </c>
      <c r="J455" s="148">
        <v>0</v>
      </c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>
        <v>100</v>
      </c>
      <c r="AE455" s="57"/>
      <c r="AF455" s="57"/>
      <c r="AG455" s="57"/>
      <c r="AH455" s="57"/>
      <c r="AI455" s="57"/>
      <c r="AJ455" s="57"/>
      <c r="AK455" s="57"/>
      <c r="AL455" s="57"/>
      <c r="AM455" s="57"/>
      <c r="AN455" s="57"/>
      <c r="AO455" s="57"/>
      <c r="AP455" s="57"/>
      <c r="AQ455" s="57"/>
      <c r="AR455" s="57"/>
      <c r="AS455" s="57"/>
      <c r="AT455" s="57"/>
      <c r="AU455" s="58">
        <f t="shared" si="7"/>
        <v>-119.77886500000002</v>
      </c>
      <c r="AV455" s="58"/>
    </row>
    <row r="456" spans="1:48" ht="13.5" customHeight="1">
      <c r="A456" s="84">
        <v>454</v>
      </c>
      <c r="B456" s="85">
        <v>1132</v>
      </c>
      <c r="C456" s="85" t="s">
        <v>38</v>
      </c>
      <c r="D456" s="175">
        <v>333.50319999999999</v>
      </c>
      <c r="F456" s="45">
        <v>400</v>
      </c>
      <c r="G456" s="45">
        <v>352.92246</v>
      </c>
      <c r="H456" s="56">
        <v>333.50319999999999</v>
      </c>
      <c r="I456" s="56">
        <v>333.50319999999999</v>
      </c>
      <c r="J456" s="148">
        <v>0</v>
      </c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57"/>
      <c r="AF456" s="57"/>
      <c r="AG456" s="57"/>
      <c r="AH456" s="57"/>
      <c r="AI456" s="57"/>
      <c r="AJ456" s="57"/>
      <c r="AK456" s="57"/>
      <c r="AL456" s="57"/>
      <c r="AM456" s="57"/>
      <c r="AN456" s="57"/>
      <c r="AO456" s="57"/>
      <c r="AP456" s="57"/>
      <c r="AQ456" s="57"/>
      <c r="AR456" s="57"/>
      <c r="AS456" s="57"/>
      <c r="AT456" s="57"/>
      <c r="AU456" s="58">
        <f t="shared" si="7"/>
        <v>333.50319999999999</v>
      </c>
      <c r="AV456" s="58"/>
    </row>
    <row r="457" spans="1:48" ht="13.5" customHeight="1">
      <c r="A457" s="82">
        <v>455</v>
      </c>
      <c r="B457" s="85">
        <v>1151</v>
      </c>
      <c r="C457" s="85" t="s">
        <v>38</v>
      </c>
      <c r="D457" s="175">
        <v>-2</v>
      </c>
      <c r="H457" s="56"/>
      <c r="I457" s="56">
        <v>128</v>
      </c>
      <c r="J457" s="148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>
        <v>130</v>
      </c>
      <c r="Y457" s="57"/>
      <c r="Z457" s="57"/>
      <c r="AA457" s="57"/>
      <c r="AB457" s="57"/>
      <c r="AC457" s="57"/>
      <c r="AD457" s="57"/>
      <c r="AE457" s="57"/>
      <c r="AF457" s="57"/>
      <c r="AG457" s="57"/>
      <c r="AH457" s="57"/>
      <c r="AI457" s="57"/>
      <c r="AJ457" s="57"/>
      <c r="AK457" s="57"/>
      <c r="AL457" s="57"/>
      <c r="AM457" s="57"/>
      <c r="AN457" s="57"/>
      <c r="AO457" s="57"/>
      <c r="AP457" s="57"/>
      <c r="AQ457" s="57"/>
      <c r="AR457" s="57"/>
      <c r="AS457" s="57"/>
      <c r="AT457" s="57"/>
      <c r="AU457" s="58">
        <f t="shared" si="7"/>
        <v>-2</v>
      </c>
      <c r="AV457" s="58"/>
    </row>
    <row r="458" spans="1:48" ht="13.5" customHeight="1">
      <c r="A458" s="84">
        <v>456</v>
      </c>
      <c r="B458" s="85">
        <v>1153</v>
      </c>
      <c r="C458" s="85" t="s">
        <v>38</v>
      </c>
      <c r="D458" s="175">
        <v>-11.25</v>
      </c>
      <c r="F458" s="45">
        <v>560</v>
      </c>
      <c r="G458" s="45">
        <v>599.73884999999996</v>
      </c>
      <c r="H458" s="56">
        <v>4.75</v>
      </c>
      <c r="I458" s="56">
        <v>4.75</v>
      </c>
      <c r="J458" s="148">
        <v>0</v>
      </c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  <c r="AE458" s="57"/>
      <c r="AF458" s="57"/>
      <c r="AG458" s="57"/>
      <c r="AH458" s="57"/>
      <c r="AI458" s="57"/>
      <c r="AJ458" s="57"/>
      <c r="AK458" s="57"/>
      <c r="AL458" s="57"/>
      <c r="AM458" s="57"/>
      <c r="AN458" s="57"/>
      <c r="AO458" s="57">
        <v>16</v>
      </c>
      <c r="AP458" s="57"/>
      <c r="AQ458" s="57"/>
      <c r="AR458" s="57"/>
      <c r="AS458" s="57"/>
      <c r="AT458" s="57"/>
      <c r="AU458" s="58">
        <f t="shared" si="7"/>
        <v>-11.25</v>
      </c>
      <c r="AV458" s="58"/>
    </row>
    <row r="459" spans="1:48" ht="13.5" customHeight="1">
      <c r="A459" s="82">
        <v>457</v>
      </c>
      <c r="B459" s="85">
        <v>1164</v>
      </c>
      <c r="C459" s="85" t="s">
        <v>38</v>
      </c>
      <c r="D459" s="175">
        <v>220</v>
      </c>
      <c r="H459" s="56"/>
      <c r="I459" s="56">
        <v>320</v>
      </c>
      <c r="J459" s="148"/>
      <c r="K459" s="57"/>
      <c r="L459" s="57"/>
      <c r="M459" s="57"/>
      <c r="N459" s="57"/>
      <c r="O459" s="57"/>
      <c r="P459" s="57"/>
      <c r="Q459" s="57"/>
      <c r="R459" s="57"/>
      <c r="S459" s="57"/>
      <c r="T459" s="57">
        <v>100</v>
      </c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  <c r="AE459" s="57"/>
      <c r="AF459" s="57"/>
      <c r="AG459" s="57"/>
      <c r="AH459" s="57"/>
      <c r="AI459" s="57"/>
      <c r="AJ459" s="57"/>
      <c r="AK459" s="57"/>
      <c r="AL459" s="57"/>
      <c r="AM459" s="57"/>
      <c r="AN459" s="57"/>
      <c r="AO459" s="57"/>
      <c r="AP459" s="57"/>
      <c r="AQ459" s="57"/>
      <c r="AR459" s="57"/>
      <c r="AS459" s="57"/>
      <c r="AT459" s="57"/>
      <c r="AU459" s="58">
        <f t="shared" si="7"/>
        <v>220</v>
      </c>
      <c r="AV459" s="58"/>
    </row>
    <row r="460" spans="1:48" ht="12.75" customHeight="1">
      <c r="A460" s="84">
        <v>458</v>
      </c>
      <c r="B460" s="85">
        <v>1179</v>
      </c>
      <c r="C460" s="85" t="s">
        <v>38</v>
      </c>
      <c r="D460" s="175">
        <v>110.80000000000001</v>
      </c>
      <c r="F460" s="45">
        <v>560</v>
      </c>
      <c r="G460" s="45">
        <v>472.71450000000004</v>
      </c>
      <c r="H460" s="56">
        <v>110.80000000000001</v>
      </c>
      <c r="I460" s="56">
        <v>110.80000000000001</v>
      </c>
      <c r="J460" s="148">
        <v>0</v>
      </c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  <c r="AE460" s="57"/>
      <c r="AF460" s="57"/>
      <c r="AG460" s="57"/>
      <c r="AH460" s="57"/>
      <c r="AI460" s="57"/>
      <c r="AJ460" s="57"/>
      <c r="AK460" s="57"/>
      <c r="AL460" s="57"/>
      <c r="AM460" s="57"/>
      <c r="AN460" s="57"/>
      <c r="AO460" s="57"/>
      <c r="AP460" s="57"/>
      <c r="AQ460" s="57"/>
      <c r="AR460" s="57"/>
      <c r="AS460" s="57"/>
      <c r="AT460" s="57"/>
      <c r="AU460" s="58">
        <f t="shared" si="7"/>
        <v>110.80000000000001</v>
      </c>
      <c r="AV460" s="58"/>
    </row>
    <row r="461" spans="1:48" ht="13.5" customHeight="1">
      <c r="A461" s="84">
        <v>459</v>
      </c>
      <c r="B461" s="85">
        <v>1181</v>
      </c>
      <c r="C461" s="85" t="s">
        <v>38</v>
      </c>
      <c r="D461" s="175">
        <v>179.50226000000001</v>
      </c>
      <c r="F461" s="45">
        <v>560</v>
      </c>
      <c r="G461" s="45">
        <v>601.70505000000003</v>
      </c>
      <c r="H461" s="56">
        <v>179.50226000000001</v>
      </c>
      <c r="I461" s="56">
        <v>179.50226000000001</v>
      </c>
      <c r="J461" s="148">
        <v>0</v>
      </c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  <c r="AE461" s="57"/>
      <c r="AF461" s="57"/>
      <c r="AG461" s="57"/>
      <c r="AH461" s="57"/>
      <c r="AI461" s="57"/>
      <c r="AJ461" s="57"/>
      <c r="AK461" s="57"/>
      <c r="AL461" s="57"/>
      <c r="AM461" s="57"/>
      <c r="AN461" s="57"/>
      <c r="AO461" s="57"/>
      <c r="AP461" s="57"/>
      <c r="AQ461" s="57"/>
      <c r="AR461" s="57"/>
      <c r="AS461" s="57"/>
      <c r="AT461" s="57"/>
      <c r="AU461" s="58">
        <f t="shared" si="7"/>
        <v>179.50226000000001</v>
      </c>
      <c r="AV461" s="58"/>
    </row>
    <row r="462" spans="1:48" ht="13.5" customHeight="1">
      <c r="A462" s="82">
        <v>460</v>
      </c>
      <c r="B462" s="85">
        <v>1182</v>
      </c>
      <c r="C462" s="85" t="s">
        <v>38</v>
      </c>
      <c r="D462" s="175">
        <v>139.18600000000001</v>
      </c>
      <c r="F462" s="45">
        <v>441</v>
      </c>
      <c r="G462" s="45">
        <v>527.87760000000003</v>
      </c>
      <c r="H462" s="56">
        <v>139.18600000000001</v>
      </c>
      <c r="I462" s="56">
        <v>139.18600000000001</v>
      </c>
      <c r="J462" s="148">
        <v>0</v>
      </c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57"/>
      <c r="AE462" s="57"/>
      <c r="AF462" s="57"/>
      <c r="AG462" s="57"/>
      <c r="AH462" s="57"/>
      <c r="AI462" s="57"/>
      <c r="AJ462" s="57"/>
      <c r="AK462" s="57"/>
      <c r="AL462" s="57"/>
      <c r="AM462" s="57"/>
      <c r="AN462" s="57"/>
      <c r="AO462" s="57"/>
      <c r="AP462" s="57"/>
      <c r="AQ462" s="57"/>
      <c r="AR462" s="57"/>
      <c r="AS462" s="57"/>
      <c r="AT462" s="57"/>
      <c r="AU462" s="58">
        <f t="shared" si="7"/>
        <v>139.18600000000001</v>
      </c>
      <c r="AV462" s="58"/>
    </row>
    <row r="463" spans="1:48" ht="13.5" customHeight="1">
      <c r="A463" s="84">
        <v>461</v>
      </c>
      <c r="B463" s="85">
        <v>1183</v>
      </c>
      <c r="C463" s="85" t="s">
        <v>38</v>
      </c>
      <c r="D463" s="175">
        <v>154.30000000000001</v>
      </c>
      <c r="F463" s="45">
        <v>224</v>
      </c>
      <c r="G463" s="45">
        <v>285.36</v>
      </c>
      <c r="H463" s="56">
        <v>154.30000000000001</v>
      </c>
      <c r="I463" s="56">
        <v>154.30000000000001</v>
      </c>
      <c r="J463" s="148">
        <v>0</v>
      </c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57"/>
      <c r="AE463" s="57"/>
      <c r="AF463" s="57"/>
      <c r="AG463" s="57"/>
      <c r="AH463" s="57"/>
      <c r="AI463" s="57"/>
      <c r="AJ463" s="57"/>
      <c r="AK463" s="57"/>
      <c r="AL463" s="57"/>
      <c r="AM463" s="57"/>
      <c r="AN463" s="57"/>
      <c r="AO463" s="57"/>
      <c r="AP463" s="57"/>
      <c r="AQ463" s="57"/>
      <c r="AR463" s="57"/>
      <c r="AS463" s="57"/>
      <c r="AT463" s="57"/>
      <c r="AU463" s="58">
        <f t="shared" si="7"/>
        <v>154.30000000000001</v>
      </c>
      <c r="AV463" s="58"/>
    </row>
    <row r="464" spans="1:48" ht="13.5" customHeight="1">
      <c r="A464" s="82">
        <v>462</v>
      </c>
      <c r="B464" s="85">
        <v>1188</v>
      </c>
      <c r="C464" s="85" t="s">
        <v>38</v>
      </c>
      <c r="D464" s="175">
        <v>227.60144000000003</v>
      </c>
      <c r="F464" s="45">
        <v>560</v>
      </c>
      <c r="G464" s="45">
        <v>653.98720000000014</v>
      </c>
      <c r="H464" s="56">
        <v>277.60144000000003</v>
      </c>
      <c r="I464" s="56">
        <v>277.60144000000003</v>
      </c>
      <c r="J464" s="148">
        <v>0</v>
      </c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  <c r="AE464" s="57"/>
      <c r="AF464" s="57"/>
      <c r="AG464" s="57"/>
      <c r="AH464" s="57"/>
      <c r="AI464" s="57"/>
      <c r="AJ464" s="57">
        <v>50</v>
      </c>
      <c r="AK464" s="57"/>
      <c r="AL464" s="57"/>
      <c r="AM464" s="57"/>
      <c r="AN464" s="57"/>
      <c r="AO464" s="57"/>
      <c r="AP464" s="57"/>
      <c r="AQ464" s="57"/>
      <c r="AR464" s="57"/>
      <c r="AS464" s="57"/>
      <c r="AT464" s="57"/>
      <c r="AU464" s="58">
        <f t="shared" si="7"/>
        <v>227.60144000000003</v>
      </c>
      <c r="AV464" s="58"/>
    </row>
    <row r="465" spans="1:48" ht="13.5" customHeight="1">
      <c r="A465" s="84">
        <v>463</v>
      </c>
      <c r="B465" s="85">
        <v>1197</v>
      </c>
      <c r="C465" s="85" t="s">
        <v>38</v>
      </c>
      <c r="D465" s="175">
        <v>-418.35750000000002</v>
      </c>
      <c r="F465" s="45">
        <v>251.99999999999997</v>
      </c>
      <c r="G465" s="45">
        <v>169.41510000000002</v>
      </c>
      <c r="H465" s="56">
        <v>-228.35750000000002</v>
      </c>
      <c r="I465" s="56">
        <v>-228.35750000000002</v>
      </c>
      <c r="J465" s="148">
        <v>0</v>
      </c>
      <c r="K465" s="57"/>
      <c r="L465" s="57"/>
      <c r="M465" s="57"/>
      <c r="N465" s="57"/>
      <c r="O465" s="57"/>
      <c r="P465" s="57"/>
      <c r="Q465" s="57"/>
      <c r="R465" s="57">
        <v>190</v>
      </c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  <c r="AE465" s="57"/>
      <c r="AF465" s="57"/>
      <c r="AG465" s="57"/>
      <c r="AH465" s="57"/>
      <c r="AI465" s="57"/>
      <c r="AJ465" s="57"/>
      <c r="AK465" s="57"/>
      <c r="AL465" s="57"/>
      <c r="AM465" s="57"/>
      <c r="AN465" s="57"/>
      <c r="AO465" s="57"/>
      <c r="AP465" s="57"/>
      <c r="AQ465" s="57"/>
      <c r="AR465" s="57"/>
      <c r="AS465" s="57"/>
      <c r="AT465" s="57"/>
      <c r="AU465" s="58">
        <f t="shared" si="7"/>
        <v>-418.35750000000002</v>
      </c>
      <c r="AV465" s="58"/>
    </row>
    <row r="466" spans="1:48" ht="13.5" customHeight="1">
      <c r="A466" s="84">
        <v>464</v>
      </c>
      <c r="B466" s="85">
        <v>1207</v>
      </c>
      <c r="C466" s="85" t="s">
        <v>38</v>
      </c>
      <c r="D466" s="175">
        <v>157.94300000000001</v>
      </c>
      <c r="F466" s="45">
        <v>350</v>
      </c>
      <c r="G466" s="45">
        <v>410.10930000000002</v>
      </c>
      <c r="H466" s="56">
        <v>573.14300000000003</v>
      </c>
      <c r="I466" s="56">
        <v>573.14300000000003</v>
      </c>
      <c r="J466" s="148">
        <v>0</v>
      </c>
      <c r="K466" s="57"/>
      <c r="L466" s="57"/>
      <c r="M466" s="57">
        <v>190</v>
      </c>
      <c r="N466" s="57"/>
      <c r="O466" s="57"/>
      <c r="P466" s="57"/>
      <c r="Q466" s="57"/>
      <c r="R466" s="57">
        <v>87.6</v>
      </c>
      <c r="S466" s="57"/>
      <c r="T466" s="57"/>
      <c r="U466" s="57"/>
      <c r="V466" s="57"/>
      <c r="W466" s="57"/>
      <c r="X466" s="57">
        <v>137.6</v>
      </c>
      <c r="Y466" s="57"/>
      <c r="Z466" s="57"/>
      <c r="AA466" s="57"/>
      <c r="AB466" s="57"/>
      <c r="AC466" s="57"/>
      <c r="AD466" s="57"/>
      <c r="AE466" s="57"/>
      <c r="AF466" s="57"/>
      <c r="AG466" s="57"/>
      <c r="AH466" s="57"/>
      <c r="AI466" s="57"/>
      <c r="AJ466" s="57"/>
      <c r="AK466" s="57"/>
      <c r="AL466" s="57"/>
      <c r="AM466" s="57"/>
      <c r="AN466" s="57"/>
      <c r="AO466" s="57"/>
      <c r="AP466" s="57"/>
      <c r="AQ466" s="57"/>
      <c r="AR466" s="57"/>
      <c r="AS466" s="57"/>
      <c r="AT466" s="57"/>
      <c r="AU466" s="58">
        <f t="shared" si="7"/>
        <v>157.94300000000001</v>
      </c>
      <c r="AV466" s="58"/>
    </row>
    <row r="467" spans="1:48" ht="13.5" customHeight="1">
      <c r="A467" s="82">
        <v>465</v>
      </c>
      <c r="B467" s="85">
        <v>1216</v>
      </c>
      <c r="C467" s="85" t="s">
        <v>38</v>
      </c>
      <c r="D467" s="175">
        <v>-183.4</v>
      </c>
      <c r="F467" s="45">
        <v>350</v>
      </c>
      <c r="G467" s="45">
        <v>239.25</v>
      </c>
      <c r="H467" s="56">
        <v>26.599999999999994</v>
      </c>
      <c r="I467" s="56">
        <v>26.599999999999994</v>
      </c>
      <c r="J467" s="148">
        <v>0</v>
      </c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/>
      <c r="AE467" s="57"/>
      <c r="AF467" s="57"/>
      <c r="AG467" s="57"/>
      <c r="AH467" s="57">
        <v>60</v>
      </c>
      <c r="AI467" s="57"/>
      <c r="AJ467" s="57"/>
      <c r="AK467" s="57"/>
      <c r="AL467" s="57"/>
      <c r="AM467" s="57"/>
      <c r="AN467" s="57"/>
      <c r="AO467" s="57"/>
      <c r="AP467" s="57"/>
      <c r="AQ467" s="57"/>
      <c r="AR467" s="57"/>
      <c r="AS467" s="57">
        <v>150</v>
      </c>
      <c r="AT467" s="57"/>
      <c r="AU467" s="58">
        <f t="shared" si="7"/>
        <v>-183.4</v>
      </c>
      <c r="AV467" s="58"/>
    </row>
    <row r="468" spans="1:48" ht="13.5" customHeight="1">
      <c r="A468" s="84">
        <v>466</v>
      </c>
      <c r="B468" s="85">
        <v>1217</v>
      </c>
      <c r="C468" s="85" t="s">
        <v>38</v>
      </c>
      <c r="D468" s="175">
        <v>228.23551101999999</v>
      </c>
      <c r="F468" s="45">
        <v>400</v>
      </c>
      <c r="G468" s="45">
        <v>140.11350000000002</v>
      </c>
      <c r="H468" s="56">
        <v>228.23551101999999</v>
      </c>
      <c r="I468" s="56">
        <v>228.23551101999999</v>
      </c>
      <c r="J468" s="148">
        <v>0</v>
      </c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  <c r="AE468" s="57"/>
      <c r="AF468" s="57"/>
      <c r="AG468" s="57"/>
      <c r="AH468" s="57"/>
      <c r="AI468" s="57"/>
      <c r="AJ468" s="57"/>
      <c r="AK468" s="57"/>
      <c r="AL468" s="57"/>
      <c r="AM468" s="57"/>
      <c r="AN468" s="57"/>
      <c r="AO468" s="57"/>
      <c r="AP468" s="57"/>
      <c r="AQ468" s="57"/>
      <c r="AR468" s="57"/>
      <c r="AS468" s="57"/>
      <c r="AT468" s="57"/>
      <c r="AU468" s="58">
        <f t="shared" si="7"/>
        <v>228.23551101999999</v>
      </c>
      <c r="AV468" s="58"/>
    </row>
    <row r="469" spans="1:48" ht="13.5" customHeight="1">
      <c r="A469" s="82">
        <v>467</v>
      </c>
      <c r="B469" s="85">
        <v>1220</v>
      </c>
      <c r="C469" s="85" t="s">
        <v>38</v>
      </c>
      <c r="D469" s="175">
        <v>-187.78800000000001</v>
      </c>
      <c r="F469" s="45">
        <v>560</v>
      </c>
      <c r="G469" s="45">
        <v>599.06459999999993</v>
      </c>
      <c r="H469" s="56">
        <v>394.71199999999999</v>
      </c>
      <c r="I469" s="56">
        <v>394.71199999999999</v>
      </c>
      <c r="J469" s="148">
        <v>0</v>
      </c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>
        <v>184.4</v>
      </c>
      <c r="W469" s="57"/>
      <c r="X469" s="57"/>
      <c r="Y469" s="57">
        <v>158</v>
      </c>
      <c r="Z469" s="57"/>
      <c r="AA469" s="57"/>
      <c r="AB469" s="57"/>
      <c r="AC469" s="57"/>
      <c r="AD469" s="57"/>
      <c r="AE469" s="57"/>
      <c r="AF469" s="57"/>
      <c r="AG469" s="57">
        <v>90.1</v>
      </c>
      <c r="AH469" s="57"/>
      <c r="AI469" s="57"/>
      <c r="AJ469" s="57">
        <v>150</v>
      </c>
      <c r="AK469" s="57"/>
      <c r="AL469" s="57"/>
      <c r="AM469" s="57"/>
      <c r="AN469" s="57"/>
      <c r="AO469" s="57"/>
      <c r="AP469" s="57"/>
      <c r="AQ469" s="57"/>
      <c r="AR469" s="57"/>
      <c r="AS469" s="57"/>
      <c r="AT469" s="57"/>
      <c r="AU469" s="58">
        <f t="shared" si="7"/>
        <v>-187.78800000000001</v>
      </c>
      <c r="AV469" s="58"/>
    </row>
    <row r="470" spans="1:48" ht="13.5" customHeight="1">
      <c r="A470" s="84">
        <v>468</v>
      </c>
      <c r="B470" s="85">
        <v>1239</v>
      </c>
      <c r="C470" s="85" t="s">
        <v>38</v>
      </c>
      <c r="D470" s="176">
        <v>-13.72399999999999</v>
      </c>
      <c r="E470" s="117"/>
      <c r="F470" s="117">
        <v>448</v>
      </c>
      <c r="G470" s="117">
        <v>437.48124500000006</v>
      </c>
      <c r="H470" s="116">
        <v>16.27600000000001</v>
      </c>
      <c r="I470" s="116">
        <v>16.27600000000001</v>
      </c>
      <c r="J470" s="149">
        <v>0</v>
      </c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57"/>
      <c r="V470" s="57"/>
      <c r="W470" s="57"/>
      <c r="X470" s="57">
        <v>30</v>
      </c>
      <c r="Y470" s="57"/>
      <c r="Z470" s="57"/>
      <c r="AA470" s="57"/>
      <c r="AB470" s="57"/>
      <c r="AC470" s="57"/>
      <c r="AD470" s="57"/>
      <c r="AE470" s="57"/>
      <c r="AF470" s="57"/>
      <c r="AG470" s="57"/>
      <c r="AH470" s="57"/>
      <c r="AI470" s="57"/>
      <c r="AJ470" s="57"/>
      <c r="AK470" s="57"/>
      <c r="AL470" s="57"/>
      <c r="AM470" s="57"/>
      <c r="AN470" s="57"/>
      <c r="AO470" s="57"/>
      <c r="AP470" s="57"/>
      <c r="AQ470" s="57"/>
      <c r="AR470" s="57"/>
      <c r="AS470" s="57"/>
      <c r="AT470" s="57"/>
      <c r="AU470" s="58">
        <f t="shared" si="7"/>
        <v>-13.72399999999999</v>
      </c>
      <c r="AV470" s="58"/>
    </row>
    <row r="471" spans="1:48" ht="13.5" customHeight="1">
      <c r="A471" s="84">
        <v>469</v>
      </c>
      <c r="B471" s="85">
        <v>1243</v>
      </c>
      <c r="C471" s="85" t="s">
        <v>38</v>
      </c>
      <c r="D471" s="175">
        <v>138</v>
      </c>
      <c r="H471" s="56"/>
      <c r="I471" s="56">
        <v>200</v>
      </c>
      <c r="J471" s="148">
        <v>22</v>
      </c>
      <c r="K471" s="57"/>
      <c r="L471" s="57"/>
      <c r="M471" s="57"/>
      <c r="N471" s="57"/>
      <c r="O471" s="57"/>
      <c r="P471" s="57"/>
      <c r="Q471" s="57"/>
      <c r="R471" s="57">
        <v>40</v>
      </c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/>
      <c r="AE471" s="57"/>
      <c r="AF471" s="57"/>
      <c r="AG471" s="57"/>
      <c r="AH471" s="57"/>
      <c r="AI471" s="57"/>
      <c r="AJ471" s="57"/>
      <c r="AK471" s="57"/>
      <c r="AL471" s="57"/>
      <c r="AM471" s="57"/>
      <c r="AN471" s="57"/>
      <c r="AO471" s="57"/>
      <c r="AP471" s="57"/>
      <c r="AQ471" s="57"/>
      <c r="AR471" s="57"/>
      <c r="AS471" s="57"/>
      <c r="AT471" s="57"/>
      <c r="AU471" s="58">
        <f t="shared" si="7"/>
        <v>138</v>
      </c>
      <c r="AV471" s="58"/>
    </row>
    <row r="472" spans="1:48" ht="13.5" customHeight="1">
      <c r="A472" s="82">
        <v>470</v>
      </c>
      <c r="B472" s="85">
        <v>1244</v>
      </c>
      <c r="C472" s="85" t="s">
        <v>38</v>
      </c>
      <c r="D472" s="175">
        <v>-362.15387499999997</v>
      </c>
      <c r="F472" s="45">
        <v>560</v>
      </c>
      <c r="G472" s="45">
        <v>635</v>
      </c>
      <c r="H472" s="56">
        <v>287.84612500000003</v>
      </c>
      <c r="I472" s="56">
        <v>287.84612500000003</v>
      </c>
      <c r="J472" s="148">
        <v>0</v>
      </c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>
        <v>650</v>
      </c>
      <c r="AB472" s="57"/>
      <c r="AC472" s="57"/>
      <c r="AD472" s="57"/>
      <c r="AE472" s="57"/>
      <c r="AF472" s="57"/>
      <c r="AG472" s="57"/>
      <c r="AH472" s="57"/>
      <c r="AI472" s="57"/>
      <c r="AJ472" s="57"/>
      <c r="AK472" s="57"/>
      <c r="AL472" s="57"/>
      <c r="AM472" s="57"/>
      <c r="AN472" s="57"/>
      <c r="AO472" s="57"/>
      <c r="AP472" s="57"/>
      <c r="AQ472" s="57"/>
      <c r="AR472" s="57"/>
      <c r="AS472" s="57"/>
      <c r="AT472" s="57"/>
      <c r="AU472" s="58">
        <f t="shared" si="7"/>
        <v>-362.15387499999997</v>
      </c>
      <c r="AV472" s="58"/>
    </row>
    <row r="473" spans="1:48" ht="13.5" customHeight="1">
      <c r="A473" s="84">
        <v>471</v>
      </c>
      <c r="B473" s="85">
        <v>1256</v>
      </c>
      <c r="C473" s="85" t="s">
        <v>38</v>
      </c>
      <c r="D473" s="175">
        <v>50.720911020000017</v>
      </c>
      <c r="F473" s="45">
        <v>320</v>
      </c>
      <c r="G473" s="45">
        <v>265.35000000000002</v>
      </c>
      <c r="H473" s="56">
        <v>230.72091102000002</v>
      </c>
      <c r="I473" s="56">
        <v>230.72091102000002</v>
      </c>
      <c r="J473" s="148">
        <v>0</v>
      </c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>
        <v>30</v>
      </c>
      <c r="Z473" s="57"/>
      <c r="AA473" s="57"/>
      <c r="AB473" s="57"/>
      <c r="AC473" s="57"/>
      <c r="AD473" s="57">
        <v>150</v>
      </c>
      <c r="AE473" s="57"/>
      <c r="AF473" s="57"/>
      <c r="AG473" s="57"/>
      <c r="AH473" s="57"/>
      <c r="AI473" s="57"/>
      <c r="AJ473" s="57"/>
      <c r="AK473" s="57"/>
      <c r="AL473" s="57"/>
      <c r="AM473" s="57"/>
      <c r="AN473" s="57"/>
      <c r="AO473" s="57"/>
      <c r="AP473" s="57"/>
      <c r="AQ473" s="57"/>
      <c r="AR473" s="57"/>
      <c r="AS473" s="57"/>
      <c r="AT473" s="57"/>
      <c r="AU473" s="58">
        <f t="shared" si="7"/>
        <v>50.720911020000017</v>
      </c>
      <c r="AV473" s="58"/>
    </row>
    <row r="474" spans="1:48" ht="13.5" customHeight="1">
      <c r="A474" s="82">
        <v>472</v>
      </c>
      <c r="B474" s="85">
        <v>1266</v>
      </c>
      <c r="C474" s="85" t="s">
        <v>38</v>
      </c>
      <c r="D474" s="175">
        <v>-48.905999999999992</v>
      </c>
      <c r="F474" s="45">
        <v>560</v>
      </c>
      <c r="G474" s="45">
        <v>556.79999999999995</v>
      </c>
      <c r="H474" s="56">
        <v>28.094000000000008</v>
      </c>
      <c r="I474" s="56">
        <v>28.094000000000008</v>
      </c>
      <c r="J474" s="148">
        <v>0</v>
      </c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>
        <v>60</v>
      </c>
      <c r="AB474" s="57"/>
      <c r="AC474" s="57"/>
      <c r="AD474" s="57"/>
      <c r="AE474" s="57"/>
      <c r="AF474" s="57"/>
      <c r="AG474" s="57"/>
      <c r="AH474" s="57"/>
      <c r="AI474" s="57"/>
      <c r="AJ474" s="57"/>
      <c r="AK474" s="57"/>
      <c r="AL474" s="57"/>
      <c r="AM474" s="57"/>
      <c r="AN474" s="57"/>
      <c r="AO474" s="57"/>
      <c r="AP474" s="57">
        <v>17</v>
      </c>
      <c r="AQ474" s="57"/>
      <c r="AR474" s="57"/>
      <c r="AS474" s="57"/>
      <c r="AT474" s="57"/>
      <c r="AU474" s="58">
        <f t="shared" si="7"/>
        <v>-48.905999999999992</v>
      </c>
      <c r="AV474" s="58"/>
    </row>
    <row r="475" spans="1:48" ht="13.5" customHeight="1">
      <c r="A475" s="84">
        <v>473</v>
      </c>
      <c r="B475" s="85">
        <v>1271</v>
      </c>
      <c r="C475" s="85" t="s">
        <v>38</v>
      </c>
      <c r="D475" s="175">
        <v>731.08</v>
      </c>
      <c r="F475" s="45">
        <v>560</v>
      </c>
      <c r="G475" s="45">
        <v>600</v>
      </c>
      <c r="H475" s="56">
        <v>731.08</v>
      </c>
      <c r="I475" s="56">
        <v>731.08</v>
      </c>
      <c r="J475" s="148">
        <v>0</v>
      </c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  <c r="AE475" s="57"/>
      <c r="AF475" s="57"/>
      <c r="AG475" s="57"/>
      <c r="AH475" s="57"/>
      <c r="AI475" s="57"/>
      <c r="AJ475" s="57"/>
      <c r="AK475" s="57"/>
      <c r="AL475" s="57"/>
      <c r="AM475" s="57"/>
      <c r="AN475" s="57"/>
      <c r="AO475" s="57"/>
      <c r="AP475" s="57"/>
      <c r="AQ475" s="57"/>
      <c r="AR475" s="57"/>
      <c r="AS475" s="57"/>
      <c r="AT475" s="57"/>
      <c r="AU475" s="58">
        <f t="shared" si="7"/>
        <v>731.08</v>
      </c>
      <c r="AV475" s="58"/>
    </row>
    <row r="476" spans="1:48" ht="13.5" customHeight="1">
      <c r="A476" s="84">
        <v>474</v>
      </c>
      <c r="B476" s="85">
        <v>1274</v>
      </c>
      <c r="C476" s="85" t="s">
        <v>38</v>
      </c>
      <c r="D476" s="175">
        <v>-89</v>
      </c>
      <c r="H476" s="56">
        <v>80</v>
      </c>
      <c r="I476" s="56">
        <v>80</v>
      </c>
      <c r="J476" s="148"/>
      <c r="K476" s="57"/>
      <c r="L476" s="57"/>
      <c r="M476" s="57"/>
      <c r="N476" s="57"/>
      <c r="O476" s="57"/>
      <c r="P476" s="57">
        <v>169</v>
      </c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  <c r="AE476" s="57"/>
      <c r="AF476" s="57"/>
      <c r="AG476" s="57"/>
      <c r="AH476" s="57"/>
      <c r="AI476" s="57"/>
      <c r="AJ476" s="57"/>
      <c r="AK476" s="57"/>
      <c r="AL476" s="57"/>
      <c r="AM476" s="57"/>
      <c r="AN476" s="57"/>
      <c r="AO476" s="57"/>
      <c r="AP476" s="57"/>
      <c r="AQ476" s="57"/>
      <c r="AR476" s="57"/>
      <c r="AS476" s="57"/>
      <c r="AT476" s="57"/>
      <c r="AU476" s="58">
        <f t="shared" si="7"/>
        <v>-89</v>
      </c>
      <c r="AV476" s="58"/>
    </row>
    <row r="477" spans="1:48" ht="13.5" customHeight="1">
      <c r="A477" s="82">
        <v>475</v>
      </c>
      <c r="B477" s="85">
        <v>1282</v>
      </c>
      <c r="C477" s="85" t="s">
        <v>38</v>
      </c>
      <c r="D477" s="175">
        <v>41.900000000000006</v>
      </c>
      <c r="F477" s="45">
        <v>560</v>
      </c>
      <c r="G477" s="45">
        <v>241.51200000000003</v>
      </c>
      <c r="H477" s="56">
        <v>41.900000000000006</v>
      </c>
      <c r="I477" s="56">
        <v>41.900000000000006</v>
      </c>
      <c r="J477" s="148">
        <v>0</v>
      </c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57"/>
      <c r="AF477" s="57"/>
      <c r="AG477" s="57"/>
      <c r="AH477" s="57"/>
      <c r="AI477" s="57"/>
      <c r="AJ477" s="57"/>
      <c r="AK477" s="57"/>
      <c r="AL477" s="57"/>
      <c r="AM477" s="57"/>
      <c r="AN477" s="57"/>
      <c r="AO477" s="57"/>
      <c r="AP477" s="57"/>
      <c r="AQ477" s="57"/>
      <c r="AR477" s="57"/>
      <c r="AS477" s="57"/>
      <c r="AT477" s="57"/>
      <c r="AU477" s="58">
        <f t="shared" si="7"/>
        <v>41.900000000000006</v>
      </c>
      <c r="AV477" s="58"/>
    </row>
    <row r="478" spans="1:48" ht="13.5" customHeight="1">
      <c r="A478" s="84">
        <v>476</v>
      </c>
      <c r="B478" s="85">
        <v>1284</v>
      </c>
      <c r="C478" s="85" t="s">
        <v>38</v>
      </c>
      <c r="D478" s="175">
        <v>64.3</v>
      </c>
      <c r="F478" s="45">
        <v>350</v>
      </c>
      <c r="G478" s="45">
        <v>348</v>
      </c>
      <c r="H478" s="56">
        <v>64.3</v>
      </c>
      <c r="I478" s="56">
        <v>64.3</v>
      </c>
      <c r="J478" s="148">
        <v>0</v>
      </c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  <c r="AE478" s="57"/>
      <c r="AF478" s="57"/>
      <c r="AG478" s="57"/>
      <c r="AH478" s="57"/>
      <c r="AI478" s="57"/>
      <c r="AJ478" s="57"/>
      <c r="AK478" s="57"/>
      <c r="AL478" s="57"/>
      <c r="AM478" s="57"/>
      <c r="AN478" s="57"/>
      <c r="AO478" s="57"/>
      <c r="AP478" s="57"/>
      <c r="AQ478" s="57"/>
      <c r="AR478" s="57"/>
      <c r="AS478" s="57"/>
      <c r="AT478" s="57"/>
      <c r="AU478" s="58">
        <f t="shared" si="7"/>
        <v>64.3</v>
      </c>
      <c r="AV478" s="58"/>
    </row>
    <row r="479" spans="1:48" ht="13.5" customHeight="1">
      <c r="A479" s="82">
        <v>477</v>
      </c>
      <c r="B479" s="85">
        <v>1285</v>
      </c>
      <c r="C479" s="85" t="s">
        <v>38</v>
      </c>
      <c r="D479" s="175">
        <v>38.700000000000003</v>
      </c>
      <c r="F479" s="45">
        <v>350</v>
      </c>
      <c r="G479" s="45">
        <v>380.54480000000007</v>
      </c>
      <c r="H479" s="56">
        <v>73.7</v>
      </c>
      <c r="I479" s="56">
        <v>73.7</v>
      </c>
      <c r="J479" s="148">
        <v>0</v>
      </c>
      <c r="K479" s="57"/>
      <c r="L479" s="57"/>
      <c r="M479" s="57"/>
      <c r="N479" s="57"/>
      <c r="O479" s="57"/>
      <c r="P479" s="57"/>
      <c r="Q479" s="57"/>
      <c r="R479" s="57">
        <v>35</v>
      </c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/>
      <c r="AE479" s="57"/>
      <c r="AF479" s="57"/>
      <c r="AG479" s="57"/>
      <c r="AH479" s="57"/>
      <c r="AI479" s="57"/>
      <c r="AJ479" s="57"/>
      <c r="AK479" s="57"/>
      <c r="AL479" s="57"/>
      <c r="AM479" s="57"/>
      <c r="AN479" s="57"/>
      <c r="AO479" s="57"/>
      <c r="AP479" s="57"/>
      <c r="AQ479" s="57"/>
      <c r="AR479" s="57"/>
      <c r="AS479" s="57"/>
      <c r="AT479" s="57"/>
      <c r="AU479" s="58">
        <f t="shared" si="7"/>
        <v>38.700000000000003</v>
      </c>
      <c r="AV479" s="58"/>
    </row>
    <row r="480" spans="1:48" ht="13.5" customHeight="1">
      <c r="A480" s="84">
        <v>478</v>
      </c>
      <c r="B480" s="85">
        <v>1286</v>
      </c>
      <c r="C480" s="85" t="s">
        <v>38</v>
      </c>
      <c r="D480" s="175">
        <v>40.700000000000003</v>
      </c>
      <c r="F480" s="45">
        <v>350</v>
      </c>
      <c r="G480" s="45">
        <v>400</v>
      </c>
      <c r="H480" s="56">
        <v>40.700000000000003</v>
      </c>
      <c r="I480" s="56">
        <v>40.700000000000003</v>
      </c>
      <c r="J480" s="148">
        <v>0</v>
      </c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/>
      <c r="AE480" s="57"/>
      <c r="AF480" s="57"/>
      <c r="AG480" s="57"/>
      <c r="AH480" s="57"/>
      <c r="AI480" s="57"/>
      <c r="AJ480" s="57"/>
      <c r="AK480" s="57"/>
      <c r="AL480" s="57"/>
      <c r="AM480" s="57"/>
      <c r="AN480" s="57"/>
      <c r="AO480" s="57"/>
      <c r="AP480" s="57"/>
      <c r="AQ480" s="57"/>
      <c r="AR480" s="57"/>
      <c r="AS480" s="57"/>
      <c r="AT480" s="57"/>
      <c r="AU480" s="58">
        <f t="shared" si="7"/>
        <v>40.700000000000003</v>
      </c>
      <c r="AV480" s="58"/>
    </row>
    <row r="481" spans="1:48" ht="13.5" customHeight="1">
      <c r="A481" s="84">
        <v>479</v>
      </c>
      <c r="B481" s="85">
        <v>1288</v>
      </c>
      <c r="C481" s="85" t="s">
        <v>38</v>
      </c>
      <c r="D481" s="175">
        <v>192.57999999999998</v>
      </c>
      <c r="F481" s="45">
        <v>224</v>
      </c>
      <c r="G481" s="45">
        <v>250.995</v>
      </c>
      <c r="H481" s="56">
        <v>192.57999999999998</v>
      </c>
      <c r="I481" s="56">
        <v>192.57999999999998</v>
      </c>
      <c r="J481" s="148">
        <v>0</v>
      </c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57"/>
      <c r="AE481" s="57"/>
      <c r="AF481" s="57"/>
      <c r="AG481" s="57"/>
      <c r="AH481" s="57"/>
      <c r="AI481" s="57"/>
      <c r="AJ481" s="57"/>
      <c r="AK481" s="57"/>
      <c r="AL481" s="57"/>
      <c r="AM481" s="57"/>
      <c r="AN481" s="57"/>
      <c r="AO481" s="57"/>
      <c r="AP481" s="57"/>
      <c r="AQ481" s="57"/>
      <c r="AR481" s="57"/>
      <c r="AS481" s="57"/>
      <c r="AT481" s="57"/>
      <c r="AU481" s="58">
        <f t="shared" si="7"/>
        <v>192.57999999999998</v>
      </c>
      <c r="AV481" s="58"/>
    </row>
    <row r="482" spans="1:48" ht="13.5" customHeight="1">
      <c r="A482" s="82">
        <v>480</v>
      </c>
      <c r="B482" s="85">
        <v>1291</v>
      </c>
      <c r="C482" s="85" t="s">
        <v>38</v>
      </c>
      <c r="D482" s="175">
        <v>-70.600000000000023</v>
      </c>
      <c r="F482" s="45">
        <v>882</v>
      </c>
      <c r="G482" s="45">
        <v>541.33118249999995</v>
      </c>
      <c r="H482" s="56">
        <v>-70.600000000000023</v>
      </c>
      <c r="I482" s="56">
        <v>-70.600000000000023</v>
      </c>
      <c r="J482" s="148">
        <v>0</v>
      </c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57"/>
      <c r="AE482" s="57"/>
      <c r="AF482" s="57"/>
      <c r="AG482" s="57"/>
      <c r="AH482" s="57"/>
      <c r="AI482" s="57"/>
      <c r="AJ482" s="57"/>
      <c r="AK482" s="57"/>
      <c r="AL482" s="57"/>
      <c r="AM482" s="57"/>
      <c r="AN482" s="57"/>
      <c r="AO482" s="57"/>
      <c r="AP482" s="57"/>
      <c r="AQ482" s="57"/>
      <c r="AR482" s="57"/>
      <c r="AS482" s="57"/>
      <c r="AT482" s="57"/>
      <c r="AU482" s="58">
        <f t="shared" si="7"/>
        <v>-70.600000000000023</v>
      </c>
      <c r="AV482" s="58"/>
    </row>
    <row r="483" spans="1:48" ht="13.5" customHeight="1">
      <c r="A483" s="84">
        <v>481</v>
      </c>
      <c r="B483" s="85">
        <v>1293</v>
      </c>
      <c r="C483" s="85" t="s">
        <v>38</v>
      </c>
      <c r="D483" s="175">
        <v>90.834999999999994</v>
      </c>
      <c r="F483" s="45">
        <v>882</v>
      </c>
      <c r="G483" s="45">
        <v>760.98193125</v>
      </c>
      <c r="H483" s="56">
        <v>90.834999999999994</v>
      </c>
      <c r="I483" s="56">
        <v>90.834999999999994</v>
      </c>
      <c r="J483" s="148">
        <v>0</v>
      </c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57"/>
      <c r="AE483" s="57"/>
      <c r="AF483" s="57"/>
      <c r="AG483" s="57"/>
      <c r="AH483" s="57"/>
      <c r="AI483" s="57"/>
      <c r="AJ483" s="57"/>
      <c r="AK483" s="57"/>
      <c r="AL483" s="57"/>
      <c r="AM483" s="57"/>
      <c r="AN483" s="57"/>
      <c r="AO483" s="57"/>
      <c r="AP483" s="57"/>
      <c r="AQ483" s="57"/>
      <c r="AR483" s="57"/>
      <c r="AS483" s="57"/>
      <c r="AT483" s="57"/>
      <c r="AU483" s="58">
        <f t="shared" si="7"/>
        <v>90.834999999999994</v>
      </c>
      <c r="AV483" s="58"/>
    </row>
    <row r="484" spans="1:48" ht="13.5" customHeight="1">
      <c r="A484" s="82">
        <v>482</v>
      </c>
      <c r="B484" s="85">
        <v>1294</v>
      </c>
      <c r="C484" s="85" t="s">
        <v>38</v>
      </c>
      <c r="D484" s="175">
        <v>73.176000000000016</v>
      </c>
      <c r="F484" s="45">
        <v>441</v>
      </c>
      <c r="G484" s="45">
        <v>486.88593000000003</v>
      </c>
      <c r="H484" s="56">
        <v>73.176000000000016</v>
      </c>
      <c r="I484" s="56">
        <v>73.176000000000016</v>
      </c>
      <c r="J484" s="148">
        <v>0</v>
      </c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57"/>
      <c r="AE484" s="57"/>
      <c r="AF484" s="57"/>
      <c r="AG484" s="57"/>
      <c r="AH484" s="57"/>
      <c r="AI484" s="57"/>
      <c r="AJ484" s="57"/>
      <c r="AK484" s="57"/>
      <c r="AL484" s="57"/>
      <c r="AM484" s="57"/>
      <c r="AN484" s="57"/>
      <c r="AO484" s="57"/>
      <c r="AP484" s="57"/>
      <c r="AQ484" s="57"/>
      <c r="AR484" s="57"/>
      <c r="AS484" s="57"/>
      <c r="AT484" s="57"/>
      <c r="AU484" s="58">
        <f t="shared" si="7"/>
        <v>73.176000000000016</v>
      </c>
      <c r="AV484" s="58"/>
    </row>
    <row r="485" spans="1:48" ht="13.5" customHeight="1">
      <c r="A485" s="84">
        <v>483</v>
      </c>
      <c r="B485" s="85">
        <v>1298</v>
      </c>
      <c r="C485" s="85" t="s">
        <v>38</v>
      </c>
      <c r="D485" s="175">
        <v>88.72</v>
      </c>
      <c r="F485" s="45">
        <v>441</v>
      </c>
      <c r="G485" s="45">
        <v>454.41644249999996</v>
      </c>
      <c r="H485" s="56">
        <v>132.12</v>
      </c>
      <c r="I485" s="56">
        <v>132.12</v>
      </c>
      <c r="J485" s="148">
        <v>0</v>
      </c>
      <c r="K485" s="57"/>
      <c r="L485" s="57"/>
      <c r="M485" s="57"/>
      <c r="N485" s="57"/>
      <c r="O485" s="57"/>
      <c r="P485" s="57">
        <v>43.4</v>
      </c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57"/>
      <c r="AE485" s="57"/>
      <c r="AF485" s="57"/>
      <c r="AG485" s="57"/>
      <c r="AH485" s="57"/>
      <c r="AI485" s="57"/>
      <c r="AJ485" s="57"/>
      <c r="AK485" s="57"/>
      <c r="AL485" s="57"/>
      <c r="AM485" s="57"/>
      <c r="AN485" s="57"/>
      <c r="AO485" s="57"/>
      <c r="AP485" s="57"/>
      <c r="AQ485" s="57"/>
      <c r="AR485" s="57"/>
      <c r="AS485" s="57"/>
      <c r="AT485" s="57"/>
      <c r="AU485" s="58">
        <f t="shared" si="7"/>
        <v>88.72</v>
      </c>
      <c r="AV485" s="58"/>
    </row>
    <row r="486" spans="1:48" ht="13.5" customHeight="1">
      <c r="A486" s="84">
        <v>484</v>
      </c>
      <c r="B486" s="85">
        <v>1300</v>
      </c>
      <c r="C486" s="85" t="s">
        <v>38</v>
      </c>
      <c r="D486" s="175">
        <v>339.16307499999999</v>
      </c>
      <c r="F486" s="45">
        <v>560</v>
      </c>
      <c r="G486" s="45">
        <v>627.27020000000005</v>
      </c>
      <c r="H486" s="56">
        <v>339.16307499999999</v>
      </c>
      <c r="I486" s="56">
        <v>339.16307499999999</v>
      </c>
      <c r="J486" s="148">
        <v>0</v>
      </c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57"/>
      <c r="AE486" s="57"/>
      <c r="AF486" s="57"/>
      <c r="AG486" s="57"/>
      <c r="AH486" s="57"/>
      <c r="AI486" s="57"/>
      <c r="AJ486" s="57"/>
      <c r="AK486" s="57"/>
      <c r="AL486" s="57"/>
      <c r="AM486" s="57"/>
      <c r="AN486" s="57"/>
      <c r="AO486" s="57"/>
      <c r="AP486" s="57"/>
      <c r="AQ486" s="57"/>
      <c r="AR486" s="57"/>
      <c r="AS486" s="57"/>
      <c r="AT486" s="57"/>
      <c r="AU486" s="58">
        <f t="shared" si="7"/>
        <v>339.16307499999999</v>
      </c>
      <c r="AV486" s="58"/>
    </row>
    <row r="487" spans="1:48" ht="13.5" customHeight="1">
      <c r="A487" s="82">
        <v>485</v>
      </c>
      <c r="B487" s="85">
        <v>1311</v>
      </c>
      <c r="C487" s="85" t="s">
        <v>38</v>
      </c>
      <c r="D487" s="175">
        <v>141.25</v>
      </c>
      <c r="F487" s="45">
        <v>882</v>
      </c>
      <c r="G487" s="45">
        <v>805.32224250000002</v>
      </c>
      <c r="H487" s="56">
        <v>141.25</v>
      </c>
      <c r="I487" s="56">
        <v>141.25</v>
      </c>
      <c r="J487" s="148">
        <v>0</v>
      </c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57"/>
      <c r="AE487" s="57"/>
      <c r="AF487" s="57"/>
      <c r="AG487" s="57"/>
      <c r="AH487" s="57"/>
      <c r="AI487" s="57"/>
      <c r="AJ487" s="57"/>
      <c r="AK487" s="57"/>
      <c r="AL487" s="57"/>
      <c r="AM487" s="57"/>
      <c r="AN487" s="57"/>
      <c r="AO487" s="57"/>
      <c r="AP487" s="57"/>
      <c r="AQ487" s="57"/>
      <c r="AR487" s="57"/>
      <c r="AS487" s="57"/>
      <c r="AT487" s="57"/>
      <c r="AU487" s="58">
        <f t="shared" si="7"/>
        <v>141.25</v>
      </c>
      <c r="AV487" s="58"/>
    </row>
    <row r="488" spans="1:48" ht="13.5" customHeight="1">
      <c r="A488" s="84">
        <v>486</v>
      </c>
      <c r="B488" s="85">
        <v>1337</v>
      </c>
      <c r="C488" s="85" t="s">
        <v>38</v>
      </c>
      <c r="D488" s="175">
        <v>597.62</v>
      </c>
      <c r="H488" s="56"/>
      <c r="I488" s="56">
        <v>882</v>
      </c>
      <c r="J488" s="148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>
        <v>26</v>
      </c>
      <c r="Y488" s="57">
        <v>160</v>
      </c>
      <c r="Z488" s="57"/>
      <c r="AA488" s="57"/>
      <c r="AB488" s="57"/>
      <c r="AC488" s="57">
        <v>98.38</v>
      </c>
      <c r="AD488" s="57"/>
      <c r="AE488" s="57"/>
      <c r="AF488" s="57"/>
      <c r="AG488" s="57"/>
      <c r="AH488" s="57"/>
      <c r="AI488" s="57"/>
      <c r="AJ488" s="57"/>
      <c r="AK488" s="57"/>
      <c r="AL488" s="57"/>
      <c r="AM488" s="57"/>
      <c r="AN488" s="57"/>
      <c r="AO488" s="57"/>
      <c r="AP488" s="57"/>
      <c r="AQ488" s="57"/>
      <c r="AR488" s="57"/>
      <c r="AS488" s="57"/>
      <c r="AT488" s="57"/>
      <c r="AU488" s="58">
        <f t="shared" si="7"/>
        <v>597.62</v>
      </c>
      <c r="AV488" s="58"/>
    </row>
    <row r="489" spans="1:48" ht="13.5" customHeight="1">
      <c r="A489" s="82">
        <v>487</v>
      </c>
      <c r="B489" s="204">
        <v>1340</v>
      </c>
      <c r="C489" s="204" t="s">
        <v>38</v>
      </c>
      <c r="D489" s="175">
        <v>290</v>
      </c>
      <c r="H489" s="56"/>
      <c r="I489" s="207">
        <v>320</v>
      </c>
      <c r="J489" s="208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/>
      <c r="AE489" s="57"/>
      <c r="AF489" s="57"/>
      <c r="AG489" s="57"/>
      <c r="AH489" s="57"/>
      <c r="AI489" s="57"/>
      <c r="AJ489" s="57"/>
      <c r="AK489" s="57"/>
      <c r="AL489" s="57"/>
      <c r="AM489" s="57"/>
      <c r="AN489" s="57"/>
      <c r="AO489" s="57"/>
      <c r="AP489" s="57"/>
      <c r="AQ489" s="57"/>
      <c r="AR489" s="57"/>
      <c r="AS489" s="209">
        <v>30</v>
      </c>
      <c r="AT489" s="209"/>
      <c r="AU489" s="58">
        <f t="shared" si="7"/>
        <v>290</v>
      </c>
      <c r="AV489" s="58"/>
    </row>
    <row r="490" spans="1:48" ht="13.5" customHeight="1">
      <c r="A490" s="82">
        <v>488</v>
      </c>
      <c r="B490" s="85">
        <v>1355</v>
      </c>
      <c r="C490" s="85" t="s">
        <v>38</v>
      </c>
      <c r="D490" s="175">
        <v>150</v>
      </c>
      <c r="H490" s="56"/>
      <c r="I490" s="56">
        <v>200</v>
      </c>
      <c r="J490" s="148">
        <v>0</v>
      </c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  <c r="AE490" s="57"/>
      <c r="AF490" s="57"/>
      <c r="AG490" s="57"/>
      <c r="AH490" s="57"/>
      <c r="AI490" s="57"/>
      <c r="AJ490" s="57"/>
      <c r="AK490" s="57"/>
      <c r="AL490" s="57"/>
      <c r="AM490" s="57"/>
      <c r="AN490" s="57"/>
      <c r="AO490" s="57"/>
      <c r="AP490" s="57"/>
      <c r="AQ490" s="57">
        <v>50</v>
      </c>
      <c r="AR490" s="57"/>
      <c r="AS490" s="57"/>
      <c r="AT490" s="57"/>
      <c r="AU490" s="58">
        <f t="shared" si="7"/>
        <v>150</v>
      </c>
      <c r="AV490" s="58"/>
    </row>
    <row r="491" spans="1:48" ht="13.5" customHeight="1">
      <c r="A491" s="84">
        <v>489</v>
      </c>
      <c r="B491" s="85">
        <v>1356</v>
      </c>
      <c r="C491" s="85" t="s">
        <v>38</v>
      </c>
      <c r="D491" s="175">
        <v>-116.21999999999997</v>
      </c>
      <c r="H491" s="56"/>
      <c r="I491" s="56">
        <v>151.30000000000001</v>
      </c>
      <c r="J491" s="148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>
        <v>267.52</v>
      </c>
      <c r="AA491" s="57"/>
      <c r="AB491" s="57"/>
      <c r="AC491" s="57"/>
      <c r="AD491" s="57"/>
      <c r="AE491" s="57"/>
      <c r="AF491" s="57"/>
      <c r="AG491" s="57"/>
      <c r="AH491" s="57"/>
      <c r="AI491" s="57"/>
      <c r="AJ491" s="57"/>
      <c r="AK491" s="57"/>
      <c r="AL491" s="57"/>
      <c r="AM491" s="57"/>
      <c r="AN491" s="57"/>
      <c r="AO491" s="57"/>
      <c r="AP491" s="57"/>
      <c r="AQ491" s="57"/>
      <c r="AR491" s="57"/>
      <c r="AS491" s="57"/>
      <c r="AT491" s="57"/>
      <c r="AU491" s="58">
        <f t="shared" si="7"/>
        <v>-116.21999999999997</v>
      </c>
      <c r="AV491" s="58"/>
    </row>
    <row r="492" spans="1:48" ht="13.5" customHeight="1">
      <c r="A492" s="84">
        <v>490</v>
      </c>
      <c r="B492" s="85">
        <v>1358</v>
      </c>
      <c r="C492" s="85" t="s">
        <v>38</v>
      </c>
      <c r="D492" s="175">
        <v>15</v>
      </c>
      <c r="H492" s="56"/>
      <c r="I492" s="56">
        <v>80</v>
      </c>
      <c r="J492" s="148"/>
      <c r="K492" s="57"/>
      <c r="L492" s="57"/>
      <c r="M492" s="57"/>
      <c r="N492" s="57"/>
      <c r="O492" s="57"/>
      <c r="P492" s="57"/>
      <c r="Q492" s="57"/>
      <c r="R492" s="57">
        <v>30</v>
      </c>
      <c r="S492" s="57"/>
      <c r="T492" s="57"/>
      <c r="U492" s="57"/>
      <c r="V492" s="57"/>
      <c r="W492" s="57"/>
      <c r="X492" s="57">
        <v>35</v>
      </c>
      <c r="Y492" s="57"/>
      <c r="Z492" s="57"/>
      <c r="AA492" s="57"/>
      <c r="AB492" s="57"/>
      <c r="AC492" s="57"/>
      <c r="AD492" s="57"/>
      <c r="AE492" s="57"/>
      <c r="AF492" s="57"/>
      <c r="AG492" s="57"/>
      <c r="AH492" s="57"/>
      <c r="AI492" s="57"/>
      <c r="AJ492" s="57"/>
      <c r="AK492" s="57"/>
      <c r="AL492" s="57"/>
      <c r="AM492" s="57"/>
      <c r="AN492" s="57"/>
      <c r="AO492" s="57"/>
      <c r="AP492" s="57"/>
      <c r="AQ492" s="57"/>
      <c r="AR492" s="57"/>
      <c r="AS492" s="57"/>
      <c r="AT492" s="57"/>
      <c r="AU492" s="58">
        <f t="shared" si="7"/>
        <v>15</v>
      </c>
      <c r="AV492" s="58"/>
    </row>
    <row r="493" spans="1:48" ht="13.5" customHeight="1">
      <c r="A493" s="82">
        <v>491</v>
      </c>
      <c r="B493" s="85">
        <v>1383</v>
      </c>
      <c r="C493" s="85" t="s">
        <v>38</v>
      </c>
      <c r="D493" s="175">
        <v>47.8</v>
      </c>
      <c r="F493" s="45">
        <v>630</v>
      </c>
      <c r="G493" s="45">
        <v>196</v>
      </c>
      <c r="H493" s="56">
        <v>47.8</v>
      </c>
      <c r="I493" s="56">
        <v>47.8</v>
      </c>
      <c r="J493" s="148">
        <v>0</v>
      </c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  <c r="AE493" s="57"/>
      <c r="AF493" s="57"/>
      <c r="AG493" s="57"/>
      <c r="AH493" s="57"/>
      <c r="AI493" s="57"/>
      <c r="AJ493" s="57"/>
      <c r="AK493" s="57"/>
      <c r="AL493" s="57"/>
      <c r="AM493" s="57"/>
      <c r="AN493" s="57"/>
      <c r="AO493" s="57"/>
      <c r="AP493" s="57"/>
      <c r="AQ493" s="57"/>
      <c r="AR493" s="57"/>
      <c r="AS493" s="57"/>
      <c r="AT493" s="57"/>
      <c r="AU493" s="58">
        <f t="shared" si="7"/>
        <v>47.8</v>
      </c>
      <c r="AV493" s="58"/>
    </row>
    <row r="494" spans="1:48" ht="13.5" customHeight="1">
      <c r="A494" s="84">
        <v>492</v>
      </c>
      <c r="B494" s="85">
        <v>1386</v>
      </c>
      <c r="C494" s="85" t="s">
        <v>38</v>
      </c>
      <c r="D494" s="175">
        <v>125.2</v>
      </c>
      <c r="F494" s="45">
        <v>400</v>
      </c>
      <c r="G494" s="45">
        <v>293.13014400000003</v>
      </c>
      <c r="H494" s="56">
        <v>125.2</v>
      </c>
      <c r="I494" s="56">
        <v>125.2</v>
      </c>
      <c r="J494" s="148">
        <v>0</v>
      </c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  <c r="AE494" s="57"/>
      <c r="AF494" s="57"/>
      <c r="AG494" s="57"/>
      <c r="AH494" s="57"/>
      <c r="AI494" s="57"/>
      <c r="AJ494" s="57"/>
      <c r="AK494" s="57"/>
      <c r="AL494" s="57"/>
      <c r="AM494" s="57"/>
      <c r="AN494" s="57"/>
      <c r="AO494" s="57"/>
      <c r="AP494" s="57"/>
      <c r="AQ494" s="57"/>
      <c r="AR494" s="57"/>
      <c r="AS494" s="57"/>
      <c r="AT494" s="57"/>
      <c r="AU494" s="58">
        <f t="shared" si="7"/>
        <v>125.2</v>
      </c>
      <c r="AV494" s="58"/>
    </row>
    <row r="495" spans="1:48" ht="13.5" customHeight="1">
      <c r="A495" s="82">
        <v>493</v>
      </c>
      <c r="B495" s="204">
        <v>1400</v>
      </c>
      <c r="C495" s="204" t="s">
        <v>38</v>
      </c>
      <c r="D495" s="175">
        <v>88</v>
      </c>
      <c r="H495" s="56"/>
      <c r="I495" s="207">
        <v>128</v>
      </c>
      <c r="J495" s="208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7"/>
      <c r="AE495" s="57"/>
      <c r="AF495" s="57"/>
      <c r="AG495" s="57"/>
      <c r="AH495" s="57"/>
      <c r="AI495" s="57"/>
      <c r="AJ495" s="57"/>
      <c r="AK495" s="57"/>
      <c r="AL495" s="57"/>
      <c r="AM495" s="57"/>
      <c r="AN495" s="57"/>
      <c r="AO495" s="57"/>
      <c r="AP495" s="57"/>
      <c r="AQ495" s="57"/>
      <c r="AR495" s="57"/>
      <c r="AS495" s="209">
        <v>40</v>
      </c>
      <c r="AT495" s="209"/>
      <c r="AU495" s="58">
        <f t="shared" si="7"/>
        <v>88</v>
      </c>
      <c r="AV495" s="58"/>
    </row>
    <row r="496" spans="1:48" ht="13.5" customHeight="1">
      <c r="A496" s="82">
        <v>494</v>
      </c>
      <c r="B496" s="85">
        <v>1407</v>
      </c>
      <c r="C496" s="85" t="s">
        <v>38</v>
      </c>
      <c r="D496" s="175">
        <v>-34</v>
      </c>
      <c r="H496" s="56"/>
      <c r="I496" s="56">
        <v>128</v>
      </c>
      <c r="J496" s="148">
        <v>135</v>
      </c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7">
        <v>27</v>
      </c>
      <c r="AE496" s="57"/>
      <c r="AF496" s="57"/>
      <c r="AG496" s="57"/>
      <c r="AH496" s="57"/>
      <c r="AI496" s="57"/>
      <c r="AJ496" s="57"/>
      <c r="AK496" s="57"/>
      <c r="AL496" s="57"/>
      <c r="AM496" s="57"/>
      <c r="AN496" s="57"/>
      <c r="AO496" s="57"/>
      <c r="AP496" s="57"/>
      <c r="AQ496" s="57"/>
      <c r="AR496" s="57"/>
      <c r="AS496" s="57"/>
      <c r="AT496" s="57"/>
      <c r="AU496" s="58">
        <f t="shared" si="7"/>
        <v>-34</v>
      </c>
      <c r="AV496" s="58"/>
    </row>
    <row r="497" spans="1:48" ht="13.5" customHeight="1">
      <c r="A497" s="84">
        <v>495</v>
      </c>
      <c r="B497" s="85">
        <v>1409</v>
      </c>
      <c r="C497" s="85" t="s">
        <v>38</v>
      </c>
      <c r="D497" s="175">
        <v>-36.515559999999994</v>
      </c>
      <c r="F497" s="45">
        <v>560</v>
      </c>
      <c r="G497" s="45">
        <v>609.16960000000006</v>
      </c>
      <c r="H497" s="56">
        <v>-3.5155599999999936</v>
      </c>
      <c r="I497" s="56">
        <v>-3.5155599999999936</v>
      </c>
      <c r="J497" s="148">
        <v>0</v>
      </c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7"/>
      <c r="AE497" s="57"/>
      <c r="AF497" s="57"/>
      <c r="AG497" s="57"/>
      <c r="AH497" s="57"/>
      <c r="AI497" s="57"/>
      <c r="AJ497" s="57"/>
      <c r="AK497" s="57"/>
      <c r="AL497" s="57"/>
      <c r="AM497" s="57"/>
      <c r="AN497" s="57"/>
      <c r="AO497" s="57"/>
      <c r="AP497" s="57">
        <v>33</v>
      </c>
      <c r="AQ497" s="57"/>
      <c r="AR497" s="57"/>
      <c r="AS497" s="57"/>
      <c r="AT497" s="57"/>
      <c r="AU497" s="58">
        <f t="shared" si="7"/>
        <v>-36.515559999999994</v>
      </c>
      <c r="AV497" s="58"/>
    </row>
    <row r="498" spans="1:48" ht="13.5" customHeight="1">
      <c r="A498" s="84">
        <v>496</v>
      </c>
      <c r="B498" s="85">
        <v>1410</v>
      </c>
      <c r="C498" s="85" t="s">
        <v>38</v>
      </c>
      <c r="D498" s="175">
        <v>-4.1220000000000141</v>
      </c>
      <c r="F498" s="45">
        <v>882</v>
      </c>
      <c r="G498" s="45">
        <v>877.02938249999988</v>
      </c>
      <c r="H498" s="56">
        <v>20.877999999999986</v>
      </c>
      <c r="I498" s="116">
        <v>20.877999999999986</v>
      </c>
      <c r="J498" s="148">
        <v>0</v>
      </c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57"/>
      <c r="AE498" s="57"/>
      <c r="AF498" s="57"/>
      <c r="AG498" s="57"/>
      <c r="AH498" s="57"/>
      <c r="AI498" s="57"/>
      <c r="AJ498" s="57"/>
      <c r="AK498" s="57"/>
      <c r="AL498" s="57"/>
      <c r="AM498" s="57">
        <v>25</v>
      </c>
      <c r="AN498" s="57"/>
      <c r="AO498" s="57"/>
      <c r="AP498" s="57"/>
      <c r="AQ498" s="57"/>
      <c r="AR498" s="57"/>
      <c r="AS498" s="57"/>
      <c r="AT498" s="57"/>
      <c r="AU498" s="58">
        <f t="shared" si="7"/>
        <v>-4.1220000000000141</v>
      </c>
      <c r="AV498" s="58"/>
    </row>
    <row r="499" spans="1:48" ht="13.5" customHeight="1">
      <c r="A499" s="82">
        <v>497</v>
      </c>
      <c r="B499" s="85">
        <v>1417</v>
      </c>
      <c r="C499" s="85" t="s">
        <v>38</v>
      </c>
      <c r="D499" s="175">
        <v>110.2</v>
      </c>
      <c r="F499" s="45">
        <v>560</v>
      </c>
      <c r="G499" s="45">
        <v>586.93484250000006</v>
      </c>
      <c r="H499" s="56">
        <v>110.2</v>
      </c>
      <c r="I499" s="116">
        <v>110.2</v>
      </c>
      <c r="J499" s="148">
        <v>0</v>
      </c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57"/>
      <c r="AE499" s="57"/>
      <c r="AF499" s="57"/>
      <c r="AG499" s="57"/>
      <c r="AH499" s="57"/>
      <c r="AI499" s="57"/>
      <c r="AJ499" s="57"/>
      <c r="AK499" s="57"/>
      <c r="AL499" s="57"/>
      <c r="AM499" s="57"/>
      <c r="AN499" s="57"/>
      <c r="AO499" s="57"/>
      <c r="AP499" s="57"/>
      <c r="AQ499" s="57"/>
      <c r="AR499" s="57"/>
      <c r="AS499" s="57"/>
      <c r="AT499" s="57"/>
      <c r="AU499" s="58">
        <f t="shared" si="7"/>
        <v>110.2</v>
      </c>
      <c r="AV499" s="58"/>
    </row>
    <row r="500" spans="1:48" ht="13.5" customHeight="1">
      <c r="A500" s="84">
        <v>498</v>
      </c>
      <c r="B500" s="85">
        <v>1420</v>
      </c>
      <c r="C500" s="85" t="s">
        <v>38</v>
      </c>
      <c r="D500" s="175">
        <v>215.2</v>
      </c>
      <c r="F500" s="45">
        <v>882</v>
      </c>
      <c r="G500" s="45">
        <v>906.57915000000003</v>
      </c>
      <c r="H500" s="56">
        <v>215.2</v>
      </c>
      <c r="I500" s="116">
        <v>215.2</v>
      </c>
      <c r="J500" s="148">
        <v>0</v>
      </c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57"/>
      <c r="AE500" s="57"/>
      <c r="AF500" s="57"/>
      <c r="AG500" s="57"/>
      <c r="AH500" s="57"/>
      <c r="AI500" s="57"/>
      <c r="AJ500" s="57"/>
      <c r="AK500" s="57"/>
      <c r="AL500" s="57"/>
      <c r="AM500" s="57"/>
      <c r="AN500" s="57"/>
      <c r="AO500" s="57"/>
      <c r="AP500" s="57"/>
      <c r="AQ500" s="57"/>
      <c r="AR500" s="57"/>
      <c r="AS500" s="57"/>
      <c r="AT500" s="57"/>
      <c r="AU500" s="58">
        <f t="shared" si="7"/>
        <v>215.2</v>
      </c>
      <c r="AV500" s="58"/>
    </row>
    <row r="501" spans="1:48" ht="13.5" customHeight="1">
      <c r="A501" s="82">
        <v>499</v>
      </c>
      <c r="B501" s="85">
        <v>1426</v>
      </c>
      <c r="C501" s="85" t="s">
        <v>38</v>
      </c>
      <c r="D501" s="175">
        <v>-2.4369999999999976</v>
      </c>
      <c r="F501" s="45">
        <v>250</v>
      </c>
      <c r="G501" s="45">
        <v>208.8</v>
      </c>
      <c r="H501" s="56">
        <v>-2.4369999999999976</v>
      </c>
      <c r="I501" s="116">
        <v>-2.4369999999999976</v>
      </c>
      <c r="J501" s="148">
        <v>0</v>
      </c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57"/>
      <c r="AE501" s="57"/>
      <c r="AF501" s="57"/>
      <c r="AG501" s="57"/>
      <c r="AH501" s="57"/>
      <c r="AI501" s="57"/>
      <c r="AJ501" s="57"/>
      <c r="AK501" s="57"/>
      <c r="AL501" s="57"/>
      <c r="AM501" s="57"/>
      <c r="AN501" s="57"/>
      <c r="AO501" s="57"/>
      <c r="AP501" s="57"/>
      <c r="AQ501" s="57"/>
      <c r="AR501" s="57"/>
      <c r="AS501" s="57"/>
      <c r="AT501" s="57"/>
      <c r="AU501" s="58">
        <f t="shared" si="7"/>
        <v>-2.4369999999999976</v>
      </c>
      <c r="AV501" s="58"/>
    </row>
    <row r="502" spans="1:48" ht="13.5" customHeight="1">
      <c r="A502" s="84">
        <v>500</v>
      </c>
      <c r="B502" s="85">
        <v>1433</v>
      </c>
      <c r="C502" s="85" t="s">
        <v>38</v>
      </c>
      <c r="D502" s="175">
        <v>1.6000000000000014</v>
      </c>
      <c r="F502" s="45">
        <v>250</v>
      </c>
      <c r="H502" s="56">
        <v>0</v>
      </c>
      <c r="I502" s="116">
        <v>24.6</v>
      </c>
      <c r="J502" s="148">
        <v>0</v>
      </c>
      <c r="K502" s="57"/>
      <c r="L502" s="57"/>
      <c r="M502" s="57"/>
      <c r="N502" s="57"/>
      <c r="O502" s="57"/>
      <c r="P502" s="57"/>
      <c r="Q502" s="57"/>
      <c r="R502" s="57">
        <v>23</v>
      </c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7"/>
      <c r="AE502" s="57"/>
      <c r="AF502" s="57"/>
      <c r="AG502" s="57"/>
      <c r="AH502" s="57"/>
      <c r="AI502" s="57"/>
      <c r="AJ502" s="57"/>
      <c r="AK502" s="57"/>
      <c r="AL502" s="57"/>
      <c r="AM502" s="57"/>
      <c r="AN502" s="57"/>
      <c r="AO502" s="57"/>
      <c r="AP502" s="57"/>
      <c r="AQ502" s="57"/>
      <c r="AR502" s="57"/>
      <c r="AS502" s="57"/>
      <c r="AT502" s="57"/>
      <c r="AU502" s="58">
        <f t="shared" si="7"/>
        <v>1.6000000000000014</v>
      </c>
      <c r="AV502" s="58"/>
    </row>
    <row r="503" spans="1:48" ht="13.5" customHeight="1">
      <c r="A503" s="84">
        <v>501</v>
      </c>
      <c r="B503" s="85">
        <v>1444</v>
      </c>
      <c r="C503" s="85" t="s">
        <v>38</v>
      </c>
      <c r="D503" s="175">
        <v>121.19999999999999</v>
      </c>
      <c r="H503" s="56">
        <v>0</v>
      </c>
      <c r="I503" s="116">
        <v>160</v>
      </c>
      <c r="J503" s="148">
        <v>16.8</v>
      </c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  <c r="AE503" s="57"/>
      <c r="AF503" s="57"/>
      <c r="AG503" s="57"/>
      <c r="AH503" s="57"/>
      <c r="AI503" s="57"/>
      <c r="AJ503" s="57"/>
      <c r="AK503" s="117">
        <v>22</v>
      </c>
      <c r="AL503" s="117"/>
      <c r="AM503" s="117"/>
      <c r="AN503" s="117"/>
      <c r="AO503" s="117"/>
      <c r="AP503" s="117"/>
      <c r="AQ503" s="117"/>
      <c r="AR503" s="117"/>
      <c r="AS503" s="117"/>
      <c r="AT503" s="117"/>
      <c r="AU503" s="58">
        <f t="shared" si="7"/>
        <v>121.19999999999999</v>
      </c>
      <c r="AV503" s="58"/>
    </row>
    <row r="504" spans="1:48" ht="13.5" customHeight="1">
      <c r="A504" s="82">
        <v>502</v>
      </c>
      <c r="B504" s="85">
        <v>1447</v>
      </c>
      <c r="C504" s="85" t="s">
        <v>38</v>
      </c>
      <c r="D504" s="175">
        <v>590.87</v>
      </c>
      <c r="H504" s="56"/>
      <c r="I504" s="116">
        <v>1400</v>
      </c>
      <c r="J504" s="148">
        <v>779.13</v>
      </c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57"/>
      <c r="AE504" s="57">
        <v>30</v>
      </c>
      <c r="AF504" s="57"/>
      <c r="AG504" s="57"/>
      <c r="AH504" s="57"/>
      <c r="AI504" s="57"/>
      <c r="AJ504" s="57"/>
      <c r="AK504" s="57"/>
      <c r="AL504" s="57"/>
      <c r="AM504" s="57"/>
      <c r="AN504" s="57"/>
      <c r="AO504" s="57"/>
      <c r="AP504" s="57"/>
      <c r="AQ504" s="57"/>
      <c r="AR504" s="57"/>
      <c r="AS504" s="57"/>
      <c r="AT504" s="57"/>
      <c r="AU504" s="58">
        <f t="shared" si="7"/>
        <v>590.87</v>
      </c>
      <c r="AV504" s="58"/>
    </row>
    <row r="505" spans="1:48" ht="13.5" customHeight="1">
      <c r="A505" s="84">
        <v>503</v>
      </c>
      <c r="B505" s="85">
        <v>1449</v>
      </c>
      <c r="C505" s="85" t="s">
        <v>38</v>
      </c>
      <c r="D505" s="175">
        <v>244</v>
      </c>
      <c r="H505" s="56">
        <v>0</v>
      </c>
      <c r="I505" s="116">
        <v>560</v>
      </c>
      <c r="J505" s="148">
        <v>216</v>
      </c>
      <c r="K505" s="57"/>
      <c r="L505" s="57">
        <v>50</v>
      </c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  <c r="AE505" s="57"/>
      <c r="AF505" s="57"/>
      <c r="AG505" s="57"/>
      <c r="AH505" s="57"/>
      <c r="AI505" s="57"/>
      <c r="AJ505" s="57"/>
      <c r="AK505" s="57"/>
      <c r="AL505" s="57"/>
      <c r="AM505" s="57"/>
      <c r="AN505" s="57"/>
      <c r="AO505" s="57">
        <v>50</v>
      </c>
      <c r="AP505" s="57"/>
      <c r="AQ505" s="57"/>
      <c r="AR505" s="57"/>
      <c r="AS505" s="57"/>
      <c r="AT505" s="57"/>
      <c r="AU505" s="58">
        <f t="shared" si="7"/>
        <v>244</v>
      </c>
      <c r="AV505" s="58"/>
    </row>
    <row r="506" spans="1:48" ht="13.5" customHeight="1">
      <c r="A506" s="82">
        <v>504</v>
      </c>
      <c r="B506" s="85">
        <v>1450</v>
      </c>
      <c r="C506" s="85" t="s">
        <v>38</v>
      </c>
      <c r="D506" s="175">
        <v>119.19999999999999</v>
      </c>
      <c r="H506" s="56">
        <v>0</v>
      </c>
      <c r="I506" s="116">
        <v>250</v>
      </c>
      <c r="J506" s="148">
        <v>42.8</v>
      </c>
      <c r="K506" s="57"/>
      <c r="L506" s="57"/>
      <c r="M506" s="57"/>
      <c r="N506" s="57"/>
      <c r="O506" s="57"/>
      <c r="P506" s="57"/>
      <c r="Q506" s="57"/>
      <c r="R506" s="57"/>
      <c r="S506" s="57"/>
      <c r="T506" s="57">
        <v>25</v>
      </c>
      <c r="U506" s="57">
        <v>30</v>
      </c>
      <c r="V506" s="57"/>
      <c r="W506" s="57"/>
      <c r="X506" s="57"/>
      <c r="Y506" s="57"/>
      <c r="Z506" s="57"/>
      <c r="AA506" s="57"/>
      <c r="AB506" s="57">
        <v>15</v>
      </c>
      <c r="AC506" s="57"/>
      <c r="AD506" s="57"/>
      <c r="AE506" s="57"/>
      <c r="AF506" s="57"/>
      <c r="AG506" s="57"/>
      <c r="AH506" s="57"/>
      <c r="AI506" s="57"/>
      <c r="AJ506" s="57">
        <v>18</v>
      </c>
      <c r="AK506" s="57"/>
      <c r="AL506" s="57"/>
      <c r="AM506" s="57"/>
      <c r="AN506" s="57"/>
      <c r="AO506" s="57"/>
      <c r="AP506" s="57"/>
      <c r="AQ506" s="57"/>
      <c r="AR506" s="57"/>
      <c r="AS506" s="57"/>
      <c r="AT506" s="57"/>
      <c r="AU506" s="58">
        <f t="shared" si="7"/>
        <v>119.19999999999999</v>
      </c>
      <c r="AV506" s="58"/>
    </row>
    <row r="507" spans="1:48" ht="13.5" customHeight="1">
      <c r="A507" s="84">
        <v>505</v>
      </c>
      <c r="B507" s="85">
        <v>1452</v>
      </c>
      <c r="C507" s="85" t="s">
        <v>38</v>
      </c>
      <c r="D507" s="175">
        <v>15.399999999999999</v>
      </c>
      <c r="H507" s="56"/>
      <c r="I507" s="116">
        <v>50.4</v>
      </c>
      <c r="J507" s="148">
        <v>0</v>
      </c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57"/>
      <c r="AF507" s="57">
        <v>35</v>
      </c>
      <c r="AG507" s="57"/>
      <c r="AH507" s="57"/>
      <c r="AI507" s="57"/>
      <c r="AJ507" s="57"/>
      <c r="AK507" s="57"/>
      <c r="AL507" s="57"/>
      <c r="AM507" s="57"/>
      <c r="AN507" s="57"/>
      <c r="AO507" s="57"/>
      <c r="AP507" s="57"/>
      <c r="AQ507" s="57"/>
      <c r="AR507" s="57"/>
      <c r="AS507" s="57"/>
      <c r="AT507" s="57"/>
      <c r="AU507" s="58">
        <f t="shared" si="7"/>
        <v>15.399999999999999</v>
      </c>
      <c r="AV507" s="58"/>
    </row>
    <row r="508" spans="1:48" ht="13.5" customHeight="1">
      <c r="A508" s="84">
        <v>506</v>
      </c>
      <c r="B508" s="85">
        <v>1454</v>
      </c>
      <c r="C508" s="85" t="s">
        <v>38</v>
      </c>
      <c r="D508" s="175">
        <v>64</v>
      </c>
      <c r="H508" s="56">
        <v>0</v>
      </c>
      <c r="I508" s="116">
        <v>160</v>
      </c>
      <c r="J508" s="148">
        <v>60</v>
      </c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  <c r="AE508" s="57"/>
      <c r="AF508" s="57"/>
      <c r="AG508" s="57"/>
      <c r="AH508" s="57"/>
      <c r="AI508" s="57"/>
      <c r="AJ508" s="57"/>
      <c r="AK508" s="57"/>
      <c r="AL508" s="57"/>
      <c r="AM508" s="57"/>
      <c r="AN508" s="57"/>
      <c r="AO508" s="57">
        <v>18</v>
      </c>
      <c r="AP508" s="57"/>
      <c r="AQ508" s="57"/>
      <c r="AR508" s="57"/>
      <c r="AS508" s="57"/>
      <c r="AT508" s="57">
        <v>18</v>
      </c>
      <c r="AU508" s="58">
        <f t="shared" si="7"/>
        <v>64</v>
      </c>
      <c r="AV508" s="58"/>
    </row>
    <row r="509" spans="1:48" ht="13.5" customHeight="1">
      <c r="A509" s="82">
        <v>507</v>
      </c>
      <c r="B509" s="85">
        <v>1457</v>
      </c>
      <c r="C509" s="85" t="s">
        <v>38</v>
      </c>
      <c r="D509" s="175">
        <v>123.2</v>
      </c>
      <c r="H509" s="56">
        <v>0</v>
      </c>
      <c r="I509" s="116">
        <v>160</v>
      </c>
      <c r="J509" s="148">
        <v>36.799999999999997</v>
      </c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  <c r="AE509" s="57"/>
      <c r="AF509" s="57"/>
      <c r="AG509" s="57"/>
      <c r="AH509" s="57"/>
      <c r="AI509" s="57"/>
      <c r="AJ509" s="57"/>
      <c r="AK509" s="57"/>
      <c r="AL509" s="57"/>
      <c r="AM509" s="57"/>
      <c r="AN509" s="57"/>
      <c r="AO509" s="57"/>
      <c r="AP509" s="57"/>
      <c r="AQ509" s="57"/>
      <c r="AR509" s="57"/>
      <c r="AS509" s="57"/>
      <c r="AT509" s="57"/>
      <c r="AU509" s="58">
        <f t="shared" si="7"/>
        <v>123.2</v>
      </c>
      <c r="AV509" s="58"/>
    </row>
    <row r="510" spans="1:48" ht="13.5" customHeight="1">
      <c r="A510" s="84">
        <v>508</v>
      </c>
      <c r="B510" s="85">
        <v>1458</v>
      </c>
      <c r="C510" s="85" t="s">
        <v>38</v>
      </c>
      <c r="D510" s="175">
        <v>132</v>
      </c>
      <c r="H510" s="56">
        <v>0</v>
      </c>
      <c r="I510" s="56">
        <v>160</v>
      </c>
      <c r="J510" s="148">
        <v>28</v>
      </c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  <c r="AE510" s="57"/>
      <c r="AF510" s="57"/>
      <c r="AG510" s="57"/>
      <c r="AH510" s="57"/>
      <c r="AI510" s="57"/>
      <c r="AJ510" s="57"/>
      <c r="AK510" s="57"/>
      <c r="AL510" s="57"/>
      <c r="AM510" s="57"/>
      <c r="AN510" s="57"/>
      <c r="AO510" s="57"/>
      <c r="AP510" s="57"/>
      <c r="AQ510" s="57"/>
      <c r="AR510" s="57"/>
      <c r="AS510" s="57"/>
      <c r="AT510" s="57"/>
      <c r="AU510" s="58">
        <f t="shared" si="7"/>
        <v>132</v>
      </c>
      <c r="AV510" s="58"/>
    </row>
    <row r="511" spans="1:48" ht="13.5" customHeight="1">
      <c r="A511" s="82">
        <v>509</v>
      </c>
      <c r="B511" s="85">
        <v>1460</v>
      </c>
      <c r="C511" s="85" t="s">
        <v>38</v>
      </c>
      <c r="D511" s="175">
        <v>171.3</v>
      </c>
      <c r="H511" s="56"/>
      <c r="I511" s="56">
        <v>320</v>
      </c>
      <c r="J511" s="148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  <c r="AD511" s="57"/>
      <c r="AE511" s="57"/>
      <c r="AF511" s="57"/>
      <c r="AG511" s="57"/>
      <c r="AH511" s="57">
        <v>148.69999999999999</v>
      </c>
      <c r="AI511" s="57"/>
      <c r="AJ511" s="57"/>
      <c r="AK511" s="57"/>
      <c r="AL511" s="57"/>
      <c r="AM511" s="57"/>
      <c r="AN511" s="57"/>
      <c r="AO511" s="57"/>
      <c r="AP511" s="57"/>
      <c r="AQ511" s="57"/>
      <c r="AR511" s="57"/>
      <c r="AS511" s="57"/>
      <c r="AT511" s="57"/>
      <c r="AU511" s="58">
        <f t="shared" si="7"/>
        <v>171.3</v>
      </c>
      <c r="AV511" s="58"/>
    </row>
    <row r="512" spans="1:48" ht="13.5" customHeight="1">
      <c r="A512" s="84">
        <v>510</v>
      </c>
      <c r="B512" s="85">
        <v>1464</v>
      </c>
      <c r="C512" s="85" t="s">
        <v>38</v>
      </c>
      <c r="D512" s="175">
        <v>104</v>
      </c>
      <c r="H512" s="56"/>
      <c r="I512" s="56">
        <v>128</v>
      </c>
      <c r="J512" s="148"/>
      <c r="K512" s="57"/>
      <c r="L512" s="57"/>
      <c r="M512" s="57"/>
      <c r="N512" s="57"/>
      <c r="O512" s="57">
        <v>24</v>
      </c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57"/>
      <c r="AE512" s="57"/>
      <c r="AF512" s="57"/>
      <c r="AG512" s="57"/>
      <c r="AH512" s="57"/>
      <c r="AI512" s="57"/>
      <c r="AJ512" s="57"/>
      <c r="AK512" s="57"/>
      <c r="AL512" s="57"/>
      <c r="AM512" s="57"/>
      <c r="AN512" s="57"/>
      <c r="AO512" s="57"/>
      <c r="AP512" s="57"/>
      <c r="AQ512" s="57"/>
      <c r="AR512" s="57"/>
      <c r="AS512" s="57"/>
      <c r="AT512" s="57"/>
      <c r="AU512" s="58">
        <f t="shared" si="7"/>
        <v>104</v>
      </c>
      <c r="AV512" s="58"/>
    </row>
    <row r="513" spans="1:48" ht="13.5" customHeight="1">
      <c r="A513" s="84">
        <v>511</v>
      </c>
      <c r="B513" s="85">
        <v>1468</v>
      </c>
      <c r="C513" s="85" t="s">
        <v>38</v>
      </c>
      <c r="D513" s="175">
        <v>308.18399999999997</v>
      </c>
      <c r="H513" s="56">
        <v>0</v>
      </c>
      <c r="I513" s="56">
        <v>560</v>
      </c>
      <c r="J513" s="148">
        <v>251.816</v>
      </c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57"/>
      <c r="AE513" s="57"/>
      <c r="AF513" s="57"/>
      <c r="AG513" s="57"/>
      <c r="AH513" s="57"/>
      <c r="AI513" s="57"/>
      <c r="AJ513" s="57"/>
      <c r="AK513" s="57"/>
      <c r="AL513" s="57"/>
      <c r="AM513" s="57"/>
      <c r="AN513" s="57"/>
      <c r="AO513" s="57"/>
      <c r="AP513" s="57"/>
      <c r="AQ513" s="57"/>
      <c r="AR513" s="57"/>
      <c r="AS513" s="57"/>
      <c r="AT513" s="57"/>
      <c r="AU513" s="58">
        <f t="shared" si="7"/>
        <v>308.18399999999997</v>
      </c>
      <c r="AV513" s="58"/>
    </row>
    <row r="514" spans="1:48" ht="13.5" customHeight="1">
      <c r="A514" s="82">
        <v>512</v>
      </c>
      <c r="B514" s="85">
        <v>1469</v>
      </c>
      <c r="C514" s="85" t="s">
        <v>38</v>
      </c>
      <c r="D514" s="175">
        <v>120</v>
      </c>
      <c r="H514" s="56">
        <v>0</v>
      </c>
      <c r="I514" s="56">
        <v>120</v>
      </c>
      <c r="J514" s="148">
        <v>0</v>
      </c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57"/>
      <c r="AE514" s="57"/>
      <c r="AF514" s="57"/>
      <c r="AG514" s="57"/>
      <c r="AH514" s="57"/>
      <c r="AI514" s="57"/>
      <c r="AJ514" s="57"/>
      <c r="AK514" s="57"/>
      <c r="AL514" s="57"/>
      <c r="AM514" s="57"/>
      <c r="AN514" s="57"/>
      <c r="AO514" s="57"/>
      <c r="AP514" s="57"/>
      <c r="AQ514" s="57"/>
      <c r="AR514" s="57"/>
      <c r="AS514" s="57"/>
      <c r="AT514" s="57"/>
      <c r="AU514" s="58">
        <f t="shared" si="7"/>
        <v>120</v>
      </c>
      <c r="AV514" s="58"/>
    </row>
    <row r="515" spans="1:48" ht="13.5" customHeight="1">
      <c r="A515" s="84">
        <v>513</v>
      </c>
      <c r="B515" s="85">
        <v>1470</v>
      </c>
      <c r="C515" s="85" t="s">
        <v>38</v>
      </c>
      <c r="D515" s="175">
        <v>524.67999999999995</v>
      </c>
      <c r="H515" s="56">
        <v>0</v>
      </c>
      <c r="I515" s="56">
        <v>560</v>
      </c>
      <c r="J515" s="148">
        <v>35.32</v>
      </c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57"/>
      <c r="AE515" s="57"/>
      <c r="AF515" s="57"/>
      <c r="AG515" s="57"/>
      <c r="AH515" s="57"/>
      <c r="AI515" s="57"/>
      <c r="AJ515" s="57"/>
      <c r="AK515" s="57"/>
      <c r="AL515" s="57"/>
      <c r="AM515" s="57"/>
      <c r="AN515" s="57"/>
      <c r="AO515" s="57"/>
      <c r="AP515" s="57"/>
      <c r="AQ515" s="57"/>
      <c r="AR515" s="57"/>
      <c r="AS515" s="57"/>
      <c r="AT515" s="57"/>
      <c r="AU515" s="58">
        <f t="shared" si="7"/>
        <v>524.67999999999995</v>
      </c>
      <c r="AV515" s="58"/>
    </row>
    <row r="516" spans="1:48" ht="13.5" customHeight="1">
      <c r="A516" s="82">
        <v>514</v>
      </c>
      <c r="B516" s="85">
        <v>1476</v>
      </c>
      <c r="C516" s="85" t="s">
        <v>38</v>
      </c>
      <c r="D516" s="175">
        <v>0</v>
      </c>
      <c r="H516" s="56"/>
      <c r="I516" s="56">
        <v>128</v>
      </c>
      <c r="J516" s="148">
        <v>78</v>
      </c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57"/>
      <c r="AE516" s="57"/>
      <c r="AF516" s="57"/>
      <c r="AG516" s="57"/>
      <c r="AH516" s="57"/>
      <c r="AI516" s="57"/>
      <c r="AJ516" s="57"/>
      <c r="AK516" s="57"/>
      <c r="AL516" s="57"/>
      <c r="AM516" s="57">
        <v>50</v>
      </c>
      <c r="AN516" s="57"/>
      <c r="AO516" s="57"/>
      <c r="AP516" s="57"/>
      <c r="AQ516" s="57"/>
      <c r="AR516" s="57"/>
      <c r="AS516" s="57"/>
      <c r="AT516" s="57"/>
      <c r="AU516" s="58">
        <f t="shared" ref="AU516:AU579" si="8">I516-J516-K516-L516-M516-N516-O516-P516-Q516-R516-S516-T516-U516-V516-W516-X516-Y516-Z516-AA516-AB516-AC516-AD516-AE516-AF516-AG516-AH516-AI516-AJ516-AK516-AL516-AM516-AN516-AO516-AP516-AQ516-AR516-AS516-AT516</f>
        <v>0</v>
      </c>
      <c r="AV516" s="58"/>
    </row>
    <row r="517" spans="1:48" ht="13.5" customHeight="1">
      <c r="A517" s="84">
        <v>515</v>
      </c>
      <c r="B517" s="85">
        <v>1485</v>
      </c>
      <c r="C517" s="85" t="s">
        <v>38</v>
      </c>
      <c r="D517" s="175">
        <v>89.2</v>
      </c>
      <c r="H517" s="56">
        <v>0</v>
      </c>
      <c r="I517" s="56">
        <v>160</v>
      </c>
      <c r="J517" s="148">
        <v>70.8</v>
      </c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57"/>
      <c r="AE517" s="57"/>
      <c r="AF517" s="57"/>
      <c r="AG517" s="57"/>
      <c r="AH517" s="57"/>
      <c r="AI517" s="57"/>
      <c r="AJ517" s="57"/>
      <c r="AK517" s="57"/>
      <c r="AL517" s="57"/>
      <c r="AM517" s="57"/>
      <c r="AN517" s="57"/>
      <c r="AO517" s="57"/>
      <c r="AP517" s="57"/>
      <c r="AQ517" s="57"/>
      <c r="AR517" s="57"/>
      <c r="AS517" s="57"/>
      <c r="AT517" s="57"/>
      <c r="AU517" s="58">
        <f t="shared" si="8"/>
        <v>89.2</v>
      </c>
      <c r="AV517" s="58"/>
    </row>
    <row r="518" spans="1:48" ht="13.5" customHeight="1">
      <c r="A518" s="84">
        <v>516</v>
      </c>
      <c r="B518" s="85">
        <v>1497</v>
      </c>
      <c r="C518" s="85" t="s">
        <v>38</v>
      </c>
      <c r="D518" s="175">
        <v>101.6</v>
      </c>
      <c r="H518" s="56">
        <v>0</v>
      </c>
      <c r="I518" s="56">
        <v>160</v>
      </c>
      <c r="J518" s="148">
        <v>58.4</v>
      </c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57"/>
      <c r="AE518" s="57"/>
      <c r="AF518" s="57"/>
      <c r="AG518" s="57"/>
      <c r="AH518" s="57"/>
      <c r="AI518" s="57"/>
      <c r="AJ518" s="57"/>
      <c r="AK518" s="57"/>
      <c r="AL518" s="57"/>
      <c r="AM518" s="57"/>
      <c r="AN518" s="57"/>
      <c r="AO518" s="57"/>
      <c r="AP518" s="57"/>
      <c r="AQ518" s="57"/>
      <c r="AR518" s="57"/>
      <c r="AS518" s="57"/>
      <c r="AT518" s="57"/>
      <c r="AU518" s="58">
        <f t="shared" si="8"/>
        <v>101.6</v>
      </c>
      <c r="AV518" s="58"/>
    </row>
    <row r="519" spans="1:48" s="167" customFormat="1" ht="13.5" customHeight="1">
      <c r="A519" s="82">
        <v>517</v>
      </c>
      <c r="B519" s="220">
        <v>1499</v>
      </c>
      <c r="C519" s="220" t="s">
        <v>38</v>
      </c>
      <c r="D519" s="221">
        <v>-24</v>
      </c>
      <c r="H519" s="166"/>
      <c r="I519" s="166">
        <v>80</v>
      </c>
      <c r="J519" s="222">
        <v>44</v>
      </c>
      <c r="K519" s="168"/>
      <c r="L519" s="168"/>
      <c r="M519" s="168"/>
      <c r="N519" s="168"/>
      <c r="O519" s="168"/>
      <c r="P519" s="168"/>
      <c r="Q519" s="168"/>
      <c r="R519" s="168"/>
      <c r="S519" s="168"/>
      <c r="T519" s="168"/>
      <c r="U519" s="168"/>
      <c r="V519" s="168"/>
      <c r="W519" s="168"/>
      <c r="X519" s="168"/>
      <c r="Y519" s="168"/>
      <c r="Z519" s="168"/>
      <c r="AA519" s="168"/>
      <c r="AB519" s="168"/>
      <c r="AC519" s="168"/>
      <c r="AD519" s="168"/>
      <c r="AE519" s="168"/>
      <c r="AF519" s="168"/>
      <c r="AG519" s="168"/>
      <c r="AH519" s="168"/>
      <c r="AI519" s="168"/>
      <c r="AJ519" s="168"/>
      <c r="AK519" s="168"/>
      <c r="AL519" s="168"/>
      <c r="AM519" s="168"/>
      <c r="AN519" s="168"/>
      <c r="AO519" s="168"/>
      <c r="AP519" s="168"/>
      <c r="AQ519" s="168"/>
      <c r="AR519" s="168">
        <v>60</v>
      </c>
      <c r="AS519" s="168"/>
      <c r="AT519" s="168"/>
      <c r="AU519" s="58">
        <f t="shared" si="8"/>
        <v>-24</v>
      </c>
      <c r="AV519" s="223"/>
    </row>
    <row r="520" spans="1:48" ht="13.5" customHeight="1">
      <c r="A520" s="84">
        <v>518</v>
      </c>
      <c r="B520" s="85">
        <v>1500</v>
      </c>
      <c r="C520" s="85" t="s">
        <v>38</v>
      </c>
      <c r="D520" s="175">
        <v>-1296.8</v>
      </c>
      <c r="H520" s="56">
        <v>0</v>
      </c>
      <c r="I520" s="56">
        <v>160</v>
      </c>
      <c r="J520" s="148">
        <v>1440.8</v>
      </c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57"/>
      <c r="AE520" s="57"/>
      <c r="AF520" s="57"/>
      <c r="AG520" s="57"/>
      <c r="AH520" s="57"/>
      <c r="AI520" s="57"/>
      <c r="AJ520" s="57"/>
      <c r="AK520" s="57"/>
      <c r="AL520" s="57"/>
      <c r="AM520" s="57"/>
      <c r="AN520" s="57">
        <v>16</v>
      </c>
      <c r="AO520" s="57"/>
      <c r="AP520" s="57"/>
      <c r="AQ520" s="57"/>
      <c r="AR520" s="57"/>
      <c r="AS520" s="57"/>
      <c r="AT520" s="57"/>
      <c r="AU520" s="58">
        <f t="shared" si="8"/>
        <v>-1296.8</v>
      </c>
      <c r="AV520" s="58"/>
    </row>
    <row r="521" spans="1:48" ht="13.5" customHeight="1">
      <c r="A521" s="82">
        <v>519</v>
      </c>
      <c r="B521" s="85">
        <v>1502</v>
      </c>
      <c r="C521" s="85" t="s">
        <v>38</v>
      </c>
      <c r="D521" s="175">
        <v>138.88</v>
      </c>
      <c r="H521" s="56">
        <v>0</v>
      </c>
      <c r="I521" s="56">
        <v>160</v>
      </c>
      <c r="J521" s="148">
        <v>21.12</v>
      </c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57"/>
      <c r="AE521" s="57"/>
      <c r="AF521" s="57"/>
      <c r="AG521" s="57"/>
      <c r="AH521" s="57"/>
      <c r="AI521" s="57"/>
      <c r="AJ521" s="57"/>
      <c r="AK521" s="57"/>
      <c r="AL521" s="57"/>
      <c r="AM521" s="57"/>
      <c r="AN521" s="57"/>
      <c r="AO521" s="57"/>
      <c r="AP521" s="57"/>
      <c r="AQ521" s="57"/>
      <c r="AR521" s="57"/>
      <c r="AS521" s="57"/>
      <c r="AT521" s="57"/>
      <c r="AU521" s="58">
        <f t="shared" si="8"/>
        <v>138.88</v>
      </c>
      <c r="AV521" s="58"/>
    </row>
    <row r="522" spans="1:48" ht="13.5" customHeight="1">
      <c r="A522" s="84">
        <v>520</v>
      </c>
      <c r="B522" s="85">
        <v>1504</v>
      </c>
      <c r="C522" s="85" t="s">
        <v>38</v>
      </c>
      <c r="D522" s="175">
        <v>-62.599999999999994</v>
      </c>
      <c r="H522" s="56">
        <v>0</v>
      </c>
      <c r="I522" s="56">
        <v>160</v>
      </c>
      <c r="J522" s="148">
        <v>197.6</v>
      </c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57"/>
      <c r="AE522" s="57"/>
      <c r="AF522" s="57"/>
      <c r="AG522" s="57"/>
      <c r="AH522" s="57"/>
      <c r="AI522" s="57"/>
      <c r="AJ522" s="57"/>
      <c r="AK522" s="57"/>
      <c r="AL522" s="57"/>
      <c r="AM522" s="57"/>
      <c r="AN522" s="57"/>
      <c r="AO522" s="57"/>
      <c r="AP522" s="57"/>
      <c r="AQ522" s="57"/>
      <c r="AR522" s="57"/>
      <c r="AS522" s="57"/>
      <c r="AT522" s="57">
        <v>25</v>
      </c>
      <c r="AU522" s="58">
        <f t="shared" si="8"/>
        <v>-62.599999999999994</v>
      </c>
      <c r="AV522" s="58"/>
    </row>
    <row r="523" spans="1:48" ht="13.5" customHeight="1">
      <c r="A523" s="84">
        <v>521</v>
      </c>
      <c r="B523" s="85">
        <v>1507</v>
      </c>
      <c r="C523" s="85" t="s">
        <v>38</v>
      </c>
      <c r="D523" s="175">
        <v>17.599999999999994</v>
      </c>
      <c r="H523" s="56">
        <v>0</v>
      </c>
      <c r="I523" s="56">
        <v>160</v>
      </c>
      <c r="J523" s="148">
        <v>142.4</v>
      </c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57"/>
      <c r="AE523" s="57"/>
      <c r="AF523" s="57"/>
      <c r="AG523" s="57"/>
      <c r="AH523" s="57"/>
      <c r="AI523" s="57"/>
      <c r="AJ523" s="57"/>
      <c r="AK523" s="57"/>
      <c r="AL523" s="57"/>
      <c r="AM523" s="57"/>
      <c r="AN523" s="57"/>
      <c r="AO523" s="57"/>
      <c r="AP523" s="57"/>
      <c r="AQ523" s="57"/>
      <c r="AR523" s="57"/>
      <c r="AS523" s="57"/>
      <c r="AT523" s="57"/>
      <c r="AU523" s="58">
        <f t="shared" si="8"/>
        <v>17.599999999999994</v>
      </c>
      <c r="AV523" s="58"/>
    </row>
    <row r="524" spans="1:48" ht="13.5" customHeight="1">
      <c r="A524" s="82">
        <v>522</v>
      </c>
      <c r="B524" s="85">
        <v>1525</v>
      </c>
      <c r="C524" s="85" t="s">
        <v>38</v>
      </c>
      <c r="D524" s="175">
        <v>242</v>
      </c>
      <c r="H524" s="56">
        <v>0</v>
      </c>
      <c r="I524" s="56">
        <v>250</v>
      </c>
      <c r="J524" s="148">
        <v>8</v>
      </c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/>
      <c r="AE524" s="57"/>
      <c r="AF524" s="57"/>
      <c r="AG524" s="57"/>
      <c r="AH524" s="57"/>
      <c r="AI524" s="57"/>
      <c r="AJ524" s="57"/>
      <c r="AK524" s="57"/>
      <c r="AL524" s="57"/>
      <c r="AM524" s="57"/>
      <c r="AN524" s="57"/>
      <c r="AO524" s="57"/>
      <c r="AP524" s="57"/>
      <c r="AQ524" s="57"/>
      <c r="AR524" s="57"/>
      <c r="AS524" s="57"/>
      <c r="AT524" s="57"/>
      <c r="AU524" s="58">
        <f t="shared" si="8"/>
        <v>242</v>
      </c>
      <c r="AV524" s="58"/>
    </row>
    <row r="525" spans="1:48" s="206" customFormat="1" ht="13.5" customHeight="1">
      <c r="A525" s="84">
        <v>523</v>
      </c>
      <c r="B525" s="204">
        <v>1528</v>
      </c>
      <c r="C525" s="204" t="s">
        <v>38</v>
      </c>
      <c r="D525" s="205">
        <v>27</v>
      </c>
      <c r="H525" s="207"/>
      <c r="I525" s="207">
        <v>128</v>
      </c>
      <c r="J525" s="208">
        <v>71</v>
      </c>
      <c r="K525" s="209"/>
      <c r="L525" s="209"/>
      <c r="M525" s="209"/>
      <c r="N525" s="209"/>
      <c r="O525" s="209"/>
      <c r="P525" s="209"/>
      <c r="Q525" s="209"/>
      <c r="R525" s="209"/>
      <c r="S525" s="209"/>
      <c r="T525" s="209"/>
      <c r="U525" s="209"/>
      <c r="V525" s="209"/>
      <c r="W525" s="209"/>
      <c r="X525" s="209"/>
      <c r="Y525" s="209"/>
      <c r="Z525" s="209"/>
      <c r="AA525" s="209"/>
      <c r="AB525" s="209"/>
      <c r="AC525" s="209"/>
      <c r="AD525" s="209"/>
      <c r="AE525" s="209"/>
      <c r="AF525" s="209"/>
      <c r="AG525" s="209"/>
      <c r="AH525" s="209"/>
      <c r="AI525" s="209"/>
      <c r="AJ525" s="209"/>
      <c r="AK525" s="209"/>
      <c r="AL525" s="209"/>
      <c r="AM525" s="209"/>
      <c r="AN525" s="209"/>
      <c r="AO525" s="209"/>
      <c r="AP525" s="209">
        <v>30</v>
      </c>
      <c r="AQ525" s="209"/>
      <c r="AR525" s="209"/>
      <c r="AS525" s="209"/>
      <c r="AT525" s="209"/>
      <c r="AU525" s="58">
        <f t="shared" si="8"/>
        <v>27</v>
      </c>
      <c r="AV525" s="210"/>
    </row>
    <row r="526" spans="1:48" ht="13.5" customHeight="1">
      <c r="A526" s="82">
        <v>524</v>
      </c>
      <c r="B526" s="85">
        <v>1533</v>
      </c>
      <c r="C526" s="85" t="s">
        <v>38</v>
      </c>
      <c r="D526" s="175">
        <v>110</v>
      </c>
      <c r="H526" s="56"/>
      <c r="I526" s="56">
        <v>128</v>
      </c>
      <c r="J526" s="148">
        <v>0</v>
      </c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57"/>
      <c r="AE526" s="57"/>
      <c r="AF526" s="57"/>
      <c r="AG526" s="57"/>
      <c r="AH526" s="57"/>
      <c r="AI526" s="57"/>
      <c r="AJ526" s="57"/>
      <c r="AK526" s="57">
        <v>18</v>
      </c>
      <c r="AL526" s="57"/>
      <c r="AM526" s="57"/>
      <c r="AN526" s="57"/>
      <c r="AO526" s="57"/>
      <c r="AP526" s="57"/>
      <c r="AQ526" s="57"/>
      <c r="AR526" s="57"/>
      <c r="AS526" s="57"/>
      <c r="AT526" s="57"/>
      <c r="AU526" s="58">
        <f t="shared" si="8"/>
        <v>110</v>
      </c>
      <c r="AV526" s="58"/>
    </row>
    <row r="527" spans="1:48" ht="13.5" customHeight="1">
      <c r="A527" s="84">
        <v>525</v>
      </c>
      <c r="B527" s="85">
        <v>1534</v>
      </c>
      <c r="C527" s="85" t="s">
        <v>38</v>
      </c>
      <c r="D527" s="175">
        <v>-4</v>
      </c>
      <c r="H527" s="56">
        <v>0</v>
      </c>
      <c r="I527" s="56">
        <v>160</v>
      </c>
      <c r="J527" s="148">
        <v>124</v>
      </c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/>
      <c r="AE527" s="57">
        <v>40</v>
      </c>
      <c r="AF527" s="57"/>
      <c r="AG527" s="57"/>
      <c r="AH527" s="57"/>
      <c r="AI527" s="57"/>
      <c r="AJ527" s="57"/>
      <c r="AK527" s="57"/>
      <c r="AL527" s="57"/>
      <c r="AM527" s="57"/>
      <c r="AN527" s="57"/>
      <c r="AO527" s="57"/>
      <c r="AP527" s="57"/>
      <c r="AQ527" s="57"/>
      <c r="AR527" s="57"/>
      <c r="AS527" s="57"/>
      <c r="AT527" s="57"/>
      <c r="AU527" s="58">
        <f t="shared" si="8"/>
        <v>-4</v>
      </c>
      <c r="AV527" s="58"/>
    </row>
    <row r="528" spans="1:48" ht="13.5" customHeight="1">
      <c r="A528" s="84">
        <v>526</v>
      </c>
      <c r="B528" s="85">
        <v>1539</v>
      </c>
      <c r="C528" s="85" t="s">
        <v>38</v>
      </c>
      <c r="D528" s="175">
        <v>86</v>
      </c>
      <c r="H528" s="56">
        <v>0</v>
      </c>
      <c r="I528" s="56">
        <v>350</v>
      </c>
      <c r="J528" s="148">
        <v>264</v>
      </c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57"/>
      <c r="AE528" s="57"/>
      <c r="AF528" s="57"/>
      <c r="AG528" s="57"/>
      <c r="AH528" s="57"/>
      <c r="AI528" s="57"/>
      <c r="AJ528" s="57"/>
      <c r="AK528" s="57"/>
      <c r="AL528" s="57"/>
      <c r="AM528" s="57"/>
      <c r="AN528" s="57"/>
      <c r="AO528" s="57"/>
      <c r="AP528" s="57"/>
      <c r="AQ528" s="57"/>
      <c r="AR528" s="57"/>
      <c r="AS528" s="57"/>
      <c r="AT528" s="57"/>
      <c r="AU528" s="58">
        <f t="shared" si="8"/>
        <v>86</v>
      </c>
      <c r="AV528" s="58"/>
    </row>
    <row r="529" spans="1:48" ht="13.5" customHeight="1">
      <c r="A529" s="82">
        <v>527</v>
      </c>
      <c r="B529" s="85">
        <v>1546</v>
      </c>
      <c r="C529" s="85" t="s">
        <v>38</v>
      </c>
      <c r="D529" s="175">
        <v>376.976</v>
      </c>
      <c r="H529" s="56">
        <v>0</v>
      </c>
      <c r="I529" s="56">
        <v>882</v>
      </c>
      <c r="J529" s="148">
        <v>345.024</v>
      </c>
      <c r="K529" s="57"/>
      <c r="L529" s="57">
        <v>160</v>
      </c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/>
      <c r="AE529" s="57"/>
      <c r="AF529" s="57"/>
      <c r="AG529" s="57"/>
      <c r="AH529" s="57"/>
      <c r="AI529" s="57"/>
      <c r="AJ529" s="57"/>
      <c r="AK529" s="57"/>
      <c r="AL529" s="57"/>
      <c r="AM529" s="57"/>
      <c r="AN529" s="57"/>
      <c r="AO529" s="57"/>
      <c r="AP529" s="57"/>
      <c r="AQ529" s="57"/>
      <c r="AR529" s="57"/>
      <c r="AS529" s="57"/>
      <c r="AT529" s="57"/>
      <c r="AU529" s="58">
        <f t="shared" si="8"/>
        <v>376.976</v>
      </c>
      <c r="AV529" s="58"/>
    </row>
    <row r="530" spans="1:48" ht="13.5" customHeight="1">
      <c r="A530" s="84">
        <v>528</v>
      </c>
      <c r="B530" s="85">
        <v>1558</v>
      </c>
      <c r="C530" s="85" t="s">
        <v>38</v>
      </c>
      <c r="D530" s="175">
        <v>-50</v>
      </c>
      <c r="H530" s="56">
        <v>0</v>
      </c>
      <c r="I530" s="56">
        <v>630</v>
      </c>
      <c r="J530" s="148">
        <v>680</v>
      </c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/>
      <c r="AE530" s="57"/>
      <c r="AF530" s="57"/>
      <c r="AG530" s="57"/>
      <c r="AH530" s="57"/>
      <c r="AI530" s="57"/>
      <c r="AJ530" s="57"/>
      <c r="AK530" s="57"/>
      <c r="AL530" s="57"/>
      <c r="AM530" s="57"/>
      <c r="AN530" s="57"/>
      <c r="AO530" s="57"/>
      <c r="AP530" s="57"/>
      <c r="AQ530" s="57"/>
      <c r="AR530" s="57"/>
      <c r="AS530" s="57"/>
      <c r="AT530" s="57"/>
      <c r="AU530" s="58">
        <f t="shared" si="8"/>
        <v>-50</v>
      </c>
      <c r="AV530" s="58"/>
    </row>
    <row r="531" spans="1:48">
      <c r="A531" s="82">
        <v>529</v>
      </c>
      <c r="B531" s="85">
        <v>1561</v>
      </c>
      <c r="C531" s="85" t="s">
        <v>38</v>
      </c>
      <c r="D531" s="175">
        <v>-107.12</v>
      </c>
      <c r="H531" s="56">
        <v>0</v>
      </c>
      <c r="I531" s="56">
        <v>560</v>
      </c>
      <c r="J531" s="148">
        <v>275.12</v>
      </c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>
        <v>147</v>
      </c>
      <c r="AB531" s="57"/>
      <c r="AC531" s="57"/>
      <c r="AD531" s="57"/>
      <c r="AE531" s="57"/>
      <c r="AF531" s="57">
        <v>25</v>
      </c>
      <c r="AG531" s="57"/>
      <c r="AH531" s="57"/>
      <c r="AI531" s="57"/>
      <c r="AJ531" s="57"/>
      <c r="AK531" s="57"/>
      <c r="AL531" s="57">
        <v>70</v>
      </c>
      <c r="AM531" s="57"/>
      <c r="AN531" s="57"/>
      <c r="AO531" s="57"/>
      <c r="AP531" s="57"/>
      <c r="AQ531" s="57"/>
      <c r="AR531" s="57"/>
      <c r="AS531" s="57">
        <v>150</v>
      </c>
      <c r="AT531" s="57"/>
      <c r="AU531" s="58">
        <f t="shared" si="8"/>
        <v>-107.12</v>
      </c>
      <c r="AV531" s="58"/>
    </row>
    <row r="532" spans="1:48">
      <c r="A532" s="84">
        <v>530</v>
      </c>
      <c r="B532" s="55">
        <v>1581</v>
      </c>
      <c r="C532" s="85" t="s">
        <v>38</v>
      </c>
      <c r="D532" s="175">
        <v>8</v>
      </c>
      <c r="H532" s="56"/>
      <c r="I532" s="56">
        <v>128</v>
      </c>
      <c r="J532" s="148">
        <v>0</v>
      </c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/>
      <c r="AE532" s="57"/>
      <c r="AF532" s="57">
        <v>120</v>
      </c>
      <c r="AG532" s="57"/>
      <c r="AH532" s="57"/>
      <c r="AI532" s="57"/>
      <c r="AJ532" s="57"/>
      <c r="AK532" s="57"/>
      <c r="AL532" s="57"/>
      <c r="AM532" s="57"/>
      <c r="AN532" s="57"/>
      <c r="AO532" s="57"/>
      <c r="AP532" s="57"/>
      <c r="AQ532" s="57"/>
      <c r="AR532" s="57"/>
      <c r="AS532" s="57"/>
      <c r="AT532" s="57"/>
      <c r="AU532" s="58">
        <f t="shared" si="8"/>
        <v>8</v>
      </c>
      <c r="AV532" s="58"/>
    </row>
    <row r="533" spans="1:48" ht="12.75" customHeight="1">
      <c r="A533" s="84">
        <v>531</v>
      </c>
      <c r="B533" s="55">
        <v>1583</v>
      </c>
      <c r="C533" s="85" t="s">
        <v>38</v>
      </c>
      <c r="D533" s="175">
        <v>470</v>
      </c>
      <c r="H533" s="56"/>
      <c r="I533" s="56">
        <v>882</v>
      </c>
      <c r="J533" s="148"/>
      <c r="K533" s="57"/>
      <c r="L533" s="57"/>
      <c r="M533" s="57"/>
      <c r="N533" s="57"/>
      <c r="O533" s="57"/>
      <c r="P533" s="57">
        <v>102</v>
      </c>
      <c r="Q533" s="57"/>
      <c r="R533" s="57">
        <v>130</v>
      </c>
      <c r="S533" s="57"/>
      <c r="T533" s="57"/>
      <c r="U533" s="57">
        <v>30</v>
      </c>
      <c r="V533" s="57"/>
      <c r="W533" s="57"/>
      <c r="X533" s="57"/>
      <c r="Y533" s="57"/>
      <c r="Z533" s="57"/>
      <c r="AA533" s="57"/>
      <c r="AB533" s="57"/>
      <c r="AC533" s="57"/>
      <c r="AD533" s="57"/>
      <c r="AE533" s="57"/>
      <c r="AF533" s="57"/>
      <c r="AG533" s="57"/>
      <c r="AH533" s="57"/>
      <c r="AI533" s="57">
        <v>150</v>
      </c>
      <c r="AJ533" s="57"/>
      <c r="AK533" s="57"/>
      <c r="AL533" s="57"/>
      <c r="AM533" s="57"/>
      <c r="AN533" s="57"/>
      <c r="AO533" s="57"/>
      <c r="AP533" s="57"/>
      <c r="AQ533" s="57"/>
      <c r="AR533" s="57"/>
      <c r="AS533" s="57"/>
      <c r="AT533" s="57"/>
      <c r="AU533" s="58">
        <f t="shared" si="8"/>
        <v>470</v>
      </c>
      <c r="AV533" s="58"/>
    </row>
    <row r="534" spans="1:48" ht="12.75" customHeight="1">
      <c r="A534" s="82">
        <v>532</v>
      </c>
      <c r="B534" s="55">
        <v>1588</v>
      </c>
      <c r="C534" s="85" t="s">
        <v>38</v>
      </c>
      <c r="D534" s="175">
        <v>-156</v>
      </c>
      <c r="H534" s="56"/>
      <c r="I534" s="56">
        <v>224</v>
      </c>
      <c r="J534" s="148">
        <v>0</v>
      </c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57"/>
      <c r="AE534" s="57"/>
      <c r="AF534" s="57">
        <v>150</v>
      </c>
      <c r="AG534" s="57"/>
      <c r="AH534" s="57">
        <v>100</v>
      </c>
      <c r="AI534" s="57"/>
      <c r="AJ534" s="57">
        <v>80</v>
      </c>
      <c r="AK534" s="57"/>
      <c r="AL534" s="57"/>
      <c r="AM534" s="57"/>
      <c r="AN534" s="57"/>
      <c r="AO534" s="57">
        <v>50</v>
      </c>
      <c r="AP534" s="57"/>
      <c r="AQ534" s="57"/>
      <c r="AR534" s="57"/>
      <c r="AS534" s="57"/>
      <c r="AT534" s="57"/>
      <c r="AU534" s="58">
        <f t="shared" si="8"/>
        <v>-156</v>
      </c>
      <c r="AV534" s="58"/>
    </row>
    <row r="535" spans="1:48" ht="13.5" customHeight="1">
      <c r="A535" s="84">
        <v>533</v>
      </c>
      <c r="B535" s="55">
        <v>1599</v>
      </c>
      <c r="C535" s="55" t="s">
        <v>38</v>
      </c>
      <c r="D535" s="175">
        <v>686.74</v>
      </c>
      <c r="F535" s="45">
        <v>1400</v>
      </c>
      <c r="H535" s="56">
        <v>0</v>
      </c>
      <c r="I535" s="56">
        <v>1400</v>
      </c>
      <c r="J535" s="148">
        <v>0</v>
      </c>
      <c r="K535" s="57"/>
      <c r="L535" s="57">
        <v>400</v>
      </c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>
        <v>62.26</v>
      </c>
      <c r="AB535" s="57">
        <v>20</v>
      </c>
      <c r="AC535" s="57">
        <v>100</v>
      </c>
      <c r="AD535" s="57">
        <v>20</v>
      </c>
      <c r="AE535" s="57">
        <v>21</v>
      </c>
      <c r="AF535" s="57"/>
      <c r="AG535" s="57"/>
      <c r="AH535" s="57"/>
      <c r="AI535" s="57"/>
      <c r="AJ535" s="57"/>
      <c r="AK535" s="57"/>
      <c r="AL535" s="57">
        <v>30</v>
      </c>
      <c r="AM535" s="57"/>
      <c r="AN535" s="57"/>
      <c r="AO535" s="57"/>
      <c r="AP535" s="57"/>
      <c r="AQ535" s="57">
        <v>60</v>
      </c>
      <c r="AR535" s="57"/>
      <c r="AS535" s="57"/>
      <c r="AT535" s="57"/>
      <c r="AU535" s="58">
        <f t="shared" si="8"/>
        <v>686.74</v>
      </c>
      <c r="AV535" s="58"/>
    </row>
    <row r="536" spans="1:48" ht="13.5" customHeight="1">
      <c r="A536" s="82">
        <v>534</v>
      </c>
      <c r="B536" s="55">
        <v>1600</v>
      </c>
      <c r="C536" s="55" t="s">
        <v>38</v>
      </c>
      <c r="D536" s="175">
        <v>-172</v>
      </c>
      <c r="H536" s="56"/>
      <c r="I536" s="56">
        <v>128</v>
      </c>
      <c r="J536" s="148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>
        <v>150</v>
      </c>
      <c r="AC536" s="57"/>
      <c r="AD536" s="57">
        <v>150</v>
      </c>
      <c r="AE536" s="57"/>
      <c r="AF536" s="57"/>
      <c r="AG536" s="57"/>
      <c r="AH536" s="57"/>
      <c r="AI536" s="57"/>
      <c r="AJ536" s="57"/>
      <c r="AK536" s="57"/>
      <c r="AL536" s="57"/>
      <c r="AM536" s="57"/>
      <c r="AN536" s="57"/>
      <c r="AO536" s="57"/>
      <c r="AP536" s="57"/>
      <c r="AQ536" s="57"/>
      <c r="AR536" s="57"/>
      <c r="AS536" s="57"/>
      <c r="AT536" s="57"/>
      <c r="AU536" s="58">
        <f t="shared" si="8"/>
        <v>-172</v>
      </c>
      <c r="AV536" s="58"/>
    </row>
    <row r="537" spans="1:48" ht="13.5" customHeight="1">
      <c r="A537" s="84">
        <v>535</v>
      </c>
      <c r="B537" s="55">
        <v>1601</v>
      </c>
      <c r="C537" s="55" t="s">
        <v>38</v>
      </c>
      <c r="D537" s="175">
        <v>10.399999999999999</v>
      </c>
      <c r="H537" s="56"/>
      <c r="I537" s="56">
        <v>50.4</v>
      </c>
      <c r="J537" s="148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/>
      <c r="AE537" s="57"/>
      <c r="AF537" s="57">
        <v>40</v>
      </c>
      <c r="AG537" s="57"/>
      <c r="AH537" s="57"/>
      <c r="AI537" s="57"/>
      <c r="AJ537" s="57"/>
      <c r="AK537" s="57"/>
      <c r="AL537" s="57"/>
      <c r="AM537" s="57"/>
      <c r="AN537" s="57"/>
      <c r="AO537" s="57"/>
      <c r="AP537" s="57"/>
      <c r="AQ537" s="57"/>
      <c r="AR537" s="57"/>
      <c r="AS537" s="57"/>
      <c r="AT537" s="57"/>
      <c r="AU537" s="58">
        <f t="shared" si="8"/>
        <v>10.399999999999999</v>
      </c>
      <c r="AV537" s="58"/>
    </row>
    <row r="538" spans="1:48" ht="13.5" customHeight="1">
      <c r="A538" s="84">
        <v>536</v>
      </c>
      <c r="B538" s="55">
        <v>1619</v>
      </c>
      <c r="C538" s="55" t="s">
        <v>38</v>
      </c>
      <c r="D538" s="175">
        <v>473.6</v>
      </c>
      <c r="H538" s="56"/>
      <c r="I538" s="56">
        <v>800</v>
      </c>
      <c r="J538" s="148">
        <v>276.39999999999998</v>
      </c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/>
      <c r="AE538" s="57"/>
      <c r="AF538" s="57"/>
      <c r="AG538" s="57"/>
      <c r="AH538" s="57"/>
      <c r="AI538" s="57"/>
      <c r="AJ538" s="57"/>
      <c r="AK538" s="57"/>
      <c r="AL538" s="57"/>
      <c r="AM538" s="57"/>
      <c r="AN538" s="57"/>
      <c r="AO538" s="57">
        <v>50</v>
      </c>
      <c r="AP538" s="57"/>
      <c r="AQ538" s="57"/>
      <c r="AR538" s="57"/>
      <c r="AS538" s="57"/>
      <c r="AT538" s="57"/>
      <c r="AU538" s="58">
        <f t="shared" si="8"/>
        <v>473.6</v>
      </c>
      <c r="AV538" s="58"/>
    </row>
    <row r="539" spans="1:48" ht="13.5" customHeight="1">
      <c r="A539" s="82">
        <v>537</v>
      </c>
      <c r="B539" s="55">
        <v>1627</v>
      </c>
      <c r="C539" s="55" t="s">
        <v>38</v>
      </c>
      <c r="D539" s="175">
        <v>-130</v>
      </c>
      <c r="H539" s="56"/>
      <c r="I539" s="56">
        <v>200</v>
      </c>
      <c r="J539" s="148"/>
      <c r="K539" s="57"/>
      <c r="L539" s="57"/>
      <c r="M539" s="57"/>
      <c r="N539" s="57"/>
      <c r="O539" s="57"/>
      <c r="P539" s="57"/>
      <c r="Q539" s="57">
        <v>160</v>
      </c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>
        <v>170</v>
      </c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8">
        <f t="shared" si="8"/>
        <v>-130</v>
      </c>
      <c r="AV539" s="58"/>
    </row>
    <row r="540" spans="1:48" ht="13.5" customHeight="1">
      <c r="A540" s="84">
        <v>538</v>
      </c>
      <c r="B540" s="55">
        <v>1631</v>
      </c>
      <c r="C540" s="55" t="s">
        <v>38</v>
      </c>
      <c r="D540" s="175">
        <v>1290</v>
      </c>
      <c r="H540" s="56"/>
      <c r="I540" s="56">
        <v>1400</v>
      </c>
      <c r="J540" s="148"/>
      <c r="K540" s="57"/>
      <c r="L540" s="57"/>
      <c r="M540" s="57"/>
      <c r="N540" s="57"/>
      <c r="O540" s="57"/>
      <c r="P540" s="57"/>
      <c r="Q540" s="57"/>
      <c r="R540" s="57"/>
      <c r="S540" s="57"/>
      <c r="T540" s="57">
        <v>110</v>
      </c>
      <c r="U540" s="57"/>
      <c r="V540" s="57"/>
      <c r="W540" s="57"/>
      <c r="X540" s="57"/>
      <c r="Y540" s="57"/>
      <c r="Z540" s="57"/>
      <c r="AA540" s="57"/>
      <c r="AB540" s="57"/>
      <c r="AC540" s="57"/>
      <c r="AD540" s="57"/>
      <c r="AE540" s="57"/>
      <c r="AF540" s="57"/>
      <c r="AG540" s="57"/>
      <c r="AH540" s="57"/>
      <c r="AI540" s="57"/>
      <c r="AJ540" s="57"/>
      <c r="AK540" s="57"/>
      <c r="AL540" s="57"/>
      <c r="AM540" s="57"/>
      <c r="AN540" s="57"/>
      <c r="AO540" s="57"/>
      <c r="AP540" s="57"/>
      <c r="AQ540" s="57"/>
      <c r="AR540" s="57"/>
      <c r="AS540" s="57"/>
      <c r="AT540" s="57"/>
      <c r="AU540" s="58">
        <f t="shared" si="8"/>
        <v>1290</v>
      </c>
      <c r="AV540" s="58"/>
    </row>
    <row r="541" spans="1:48" ht="13.5" customHeight="1">
      <c r="A541" s="82">
        <v>539</v>
      </c>
      <c r="B541" s="55">
        <v>1633</v>
      </c>
      <c r="C541" s="55" t="s">
        <v>38</v>
      </c>
      <c r="D541" s="175">
        <v>530</v>
      </c>
      <c r="H541" s="56"/>
      <c r="I541" s="56">
        <v>560</v>
      </c>
      <c r="J541" s="148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>
        <v>30</v>
      </c>
      <c r="V541" s="57"/>
      <c r="W541" s="57"/>
      <c r="X541" s="57"/>
      <c r="Y541" s="57"/>
      <c r="Z541" s="57"/>
      <c r="AA541" s="57"/>
      <c r="AB541" s="57"/>
      <c r="AC541" s="57"/>
      <c r="AD541" s="57"/>
      <c r="AE541" s="57"/>
      <c r="AF541" s="57"/>
      <c r="AG541" s="57"/>
      <c r="AH541" s="57"/>
      <c r="AI541" s="57"/>
      <c r="AJ541" s="57"/>
      <c r="AK541" s="57"/>
      <c r="AL541" s="57"/>
      <c r="AM541" s="57"/>
      <c r="AN541" s="57"/>
      <c r="AO541" s="57"/>
      <c r="AP541" s="57"/>
      <c r="AQ541" s="57"/>
      <c r="AR541" s="57"/>
      <c r="AS541" s="57"/>
      <c r="AT541" s="57"/>
      <c r="AU541" s="58">
        <f t="shared" si="8"/>
        <v>530</v>
      </c>
      <c r="AV541" s="58"/>
    </row>
    <row r="542" spans="1:48" ht="13.5" customHeight="1">
      <c r="A542" s="84">
        <v>540</v>
      </c>
      <c r="B542" s="55">
        <v>1638</v>
      </c>
      <c r="C542" s="55" t="s">
        <v>38</v>
      </c>
      <c r="D542" s="175">
        <v>50</v>
      </c>
      <c r="H542" s="56"/>
      <c r="I542" s="56">
        <v>200</v>
      </c>
      <c r="J542" s="148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  <c r="AE542" s="57"/>
      <c r="AF542" s="57"/>
      <c r="AG542" s="57"/>
      <c r="AH542" s="57"/>
      <c r="AI542" s="57"/>
      <c r="AJ542" s="57">
        <v>150</v>
      </c>
      <c r="AK542" s="57"/>
      <c r="AL542" s="57"/>
      <c r="AM542" s="57"/>
      <c r="AN542" s="57"/>
      <c r="AO542" s="57"/>
      <c r="AP542" s="57"/>
      <c r="AQ542" s="57"/>
      <c r="AR542" s="57"/>
      <c r="AS542" s="57"/>
      <c r="AT542" s="57"/>
      <c r="AU542" s="58">
        <f t="shared" si="8"/>
        <v>50</v>
      </c>
      <c r="AV542" s="58"/>
    </row>
    <row r="543" spans="1:48" ht="13.5" customHeight="1">
      <c r="A543" s="84">
        <v>541</v>
      </c>
      <c r="B543" s="55">
        <v>1648</v>
      </c>
      <c r="C543" s="55" t="s">
        <v>38</v>
      </c>
      <c r="D543" s="175">
        <v>-32</v>
      </c>
      <c r="H543" s="56"/>
      <c r="I543" s="56">
        <v>128</v>
      </c>
      <c r="J543" s="148"/>
      <c r="K543" s="57"/>
      <c r="L543" s="57"/>
      <c r="M543" s="57"/>
      <c r="N543" s="57"/>
      <c r="O543" s="57"/>
      <c r="P543" s="57">
        <v>100</v>
      </c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>
        <v>60</v>
      </c>
      <c r="AC543" s="57"/>
      <c r="AD543" s="57"/>
      <c r="AE543" s="57"/>
      <c r="AF543" s="57"/>
      <c r="AG543" s="57"/>
      <c r="AH543" s="57"/>
      <c r="AI543" s="57"/>
      <c r="AJ543" s="57"/>
      <c r="AK543" s="57"/>
      <c r="AL543" s="57"/>
      <c r="AM543" s="57"/>
      <c r="AN543" s="57"/>
      <c r="AO543" s="57"/>
      <c r="AP543" s="57"/>
      <c r="AQ543" s="57"/>
      <c r="AR543" s="57"/>
      <c r="AS543" s="57"/>
      <c r="AT543" s="57"/>
      <c r="AU543" s="58">
        <f t="shared" si="8"/>
        <v>-32</v>
      </c>
      <c r="AV543" s="58"/>
    </row>
    <row r="544" spans="1:48" ht="13.5" customHeight="1">
      <c r="A544" s="82">
        <v>542</v>
      </c>
      <c r="B544" s="55">
        <v>1649</v>
      </c>
      <c r="C544" s="55" t="s">
        <v>38</v>
      </c>
      <c r="D544" s="175">
        <v>200</v>
      </c>
      <c r="H544" s="56"/>
      <c r="I544" s="56">
        <v>200</v>
      </c>
      <c r="J544" s="148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57"/>
      <c r="AF544" s="57"/>
      <c r="AG544" s="57"/>
      <c r="AH544" s="57"/>
      <c r="AI544" s="57"/>
      <c r="AJ544" s="57"/>
      <c r="AK544" s="57"/>
      <c r="AL544" s="57"/>
      <c r="AM544" s="57"/>
      <c r="AN544" s="57"/>
      <c r="AO544" s="57"/>
      <c r="AP544" s="57"/>
      <c r="AQ544" s="57"/>
      <c r="AR544" s="57"/>
      <c r="AS544" s="57"/>
      <c r="AT544" s="57"/>
      <c r="AU544" s="58">
        <f t="shared" si="8"/>
        <v>200</v>
      </c>
      <c r="AV544" s="58"/>
    </row>
    <row r="545" spans="1:48" ht="13.5" customHeight="1">
      <c r="A545" s="84">
        <v>543</v>
      </c>
      <c r="B545" s="55">
        <v>1658</v>
      </c>
      <c r="C545" s="55" t="s">
        <v>38</v>
      </c>
      <c r="D545" s="175">
        <v>1370</v>
      </c>
      <c r="H545" s="56"/>
      <c r="I545" s="56">
        <v>1400</v>
      </c>
      <c r="J545" s="148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  <c r="AE545" s="57"/>
      <c r="AF545" s="57"/>
      <c r="AG545" s="57"/>
      <c r="AH545" s="57"/>
      <c r="AI545" s="57"/>
      <c r="AJ545" s="57"/>
      <c r="AK545" s="57"/>
      <c r="AL545" s="57"/>
      <c r="AM545" s="57"/>
      <c r="AN545" s="57"/>
      <c r="AO545" s="57"/>
      <c r="AP545" s="57"/>
      <c r="AQ545" s="57"/>
      <c r="AR545" s="57"/>
      <c r="AS545" s="57"/>
      <c r="AT545" s="57">
        <v>30</v>
      </c>
      <c r="AU545" s="58">
        <f t="shared" si="8"/>
        <v>1370</v>
      </c>
      <c r="AV545" s="58"/>
    </row>
    <row r="546" spans="1:48" ht="13.5" customHeight="1">
      <c r="A546" s="82">
        <v>544</v>
      </c>
      <c r="B546" s="55">
        <v>1676</v>
      </c>
      <c r="C546" s="55" t="s">
        <v>38</v>
      </c>
      <c r="D546" s="175">
        <v>11.949999999999989</v>
      </c>
      <c r="H546" s="56"/>
      <c r="I546" s="56">
        <v>350</v>
      </c>
      <c r="J546" s="148">
        <v>293.05</v>
      </c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  <c r="AE546" s="57"/>
      <c r="AF546" s="57"/>
      <c r="AG546" s="57"/>
      <c r="AH546" s="57"/>
      <c r="AI546" s="57"/>
      <c r="AJ546" s="57"/>
      <c r="AK546" s="57"/>
      <c r="AL546" s="57"/>
      <c r="AM546" s="57">
        <v>26</v>
      </c>
      <c r="AN546" s="57">
        <v>19</v>
      </c>
      <c r="AO546" s="57"/>
      <c r="AP546" s="57"/>
      <c r="AQ546" s="57"/>
      <c r="AR546" s="57"/>
      <c r="AS546" s="57"/>
      <c r="AT546" s="57"/>
      <c r="AU546" s="58">
        <f t="shared" si="8"/>
        <v>11.949999999999989</v>
      </c>
      <c r="AV546" s="58"/>
    </row>
    <row r="547" spans="1:48" ht="13.5" customHeight="1">
      <c r="A547" s="84">
        <v>545</v>
      </c>
      <c r="B547" s="55">
        <v>1687</v>
      </c>
      <c r="C547" s="55" t="s">
        <v>38</v>
      </c>
      <c r="D547" s="175">
        <v>1400</v>
      </c>
      <c r="H547" s="56"/>
      <c r="I547" s="56">
        <v>1400</v>
      </c>
      <c r="J547" s="148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>
        <v>0</v>
      </c>
      <c r="AD547" s="57"/>
      <c r="AE547" s="57"/>
      <c r="AF547" s="57"/>
      <c r="AG547" s="57"/>
      <c r="AH547" s="57"/>
      <c r="AI547" s="57"/>
      <c r="AJ547" s="57"/>
      <c r="AK547" s="57"/>
      <c r="AL547" s="57"/>
      <c r="AM547" s="57"/>
      <c r="AN547" s="57"/>
      <c r="AO547" s="57"/>
      <c r="AP547" s="57"/>
      <c r="AQ547" s="57"/>
      <c r="AR547" s="57"/>
      <c r="AS547" s="57"/>
      <c r="AT547" s="57"/>
      <c r="AU547" s="58">
        <f t="shared" si="8"/>
        <v>1400</v>
      </c>
      <c r="AV547" s="58"/>
    </row>
    <row r="548" spans="1:48" ht="13.5" customHeight="1">
      <c r="A548" s="84">
        <v>546</v>
      </c>
      <c r="B548" s="55">
        <v>1688</v>
      </c>
      <c r="C548" s="55" t="s">
        <v>38</v>
      </c>
      <c r="D548" s="175">
        <v>222</v>
      </c>
      <c r="H548" s="56"/>
      <c r="I548" s="56">
        <v>560</v>
      </c>
      <c r="J548" s="148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>
        <v>338</v>
      </c>
      <c r="Z548" s="57"/>
      <c r="AA548" s="57"/>
      <c r="AB548" s="57"/>
      <c r="AC548" s="57"/>
      <c r="AD548" s="57"/>
      <c r="AE548" s="57"/>
      <c r="AF548" s="57"/>
      <c r="AG548" s="57"/>
      <c r="AH548" s="57"/>
      <c r="AI548" s="57"/>
      <c r="AJ548" s="57"/>
      <c r="AK548" s="57"/>
      <c r="AL548" s="57"/>
      <c r="AM548" s="57"/>
      <c r="AN548" s="57"/>
      <c r="AO548" s="57"/>
      <c r="AP548" s="57"/>
      <c r="AQ548" s="57"/>
      <c r="AR548" s="57"/>
      <c r="AS548" s="57"/>
      <c r="AT548" s="57"/>
      <c r="AU548" s="58">
        <f t="shared" si="8"/>
        <v>222</v>
      </c>
      <c r="AV548" s="58"/>
    </row>
    <row r="549" spans="1:48" s="167" customFormat="1" ht="13.5" customHeight="1">
      <c r="A549" s="82">
        <v>547</v>
      </c>
      <c r="B549" s="224">
        <v>1693</v>
      </c>
      <c r="C549" s="224" t="s">
        <v>38</v>
      </c>
      <c r="D549" s="221">
        <v>-168</v>
      </c>
      <c r="H549" s="166"/>
      <c r="I549" s="166">
        <v>560</v>
      </c>
      <c r="J549" s="222">
        <v>658</v>
      </c>
      <c r="K549" s="168"/>
      <c r="L549" s="168"/>
      <c r="M549" s="168"/>
      <c r="N549" s="168"/>
      <c r="O549" s="168"/>
      <c r="P549" s="168"/>
      <c r="Q549" s="168"/>
      <c r="R549" s="168"/>
      <c r="S549" s="168"/>
      <c r="T549" s="168"/>
      <c r="U549" s="168"/>
      <c r="V549" s="168"/>
      <c r="W549" s="168"/>
      <c r="X549" s="168"/>
      <c r="Y549" s="168"/>
      <c r="Z549" s="168"/>
      <c r="AA549" s="168"/>
      <c r="AB549" s="168"/>
      <c r="AC549" s="168"/>
      <c r="AD549" s="168"/>
      <c r="AE549" s="168"/>
      <c r="AF549" s="168"/>
      <c r="AG549" s="168"/>
      <c r="AH549" s="168"/>
      <c r="AI549" s="168"/>
      <c r="AJ549" s="168"/>
      <c r="AK549" s="168"/>
      <c r="AL549" s="168"/>
      <c r="AM549" s="168"/>
      <c r="AN549" s="168"/>
      <c r="AO549" s="168"/>
      <c r="AP549" s="168"/>
      <c r="AQ549" s="168"/>
      <c r="AR549" s="168">
        <v>70</v>
      </c>
      <c r="AS549" s="168"/>
      <c r="AT549" s="168"/>
      <c r="AU549" s="58">
        <f t="shared" si="8"/>
        <v>-168</v>
      </c>
      <c r="AV549" s="223"/>
    </row>
    <row r="550" spans="1:48" ht="13.5" customHeight="1">
      <c r="A550" s="84">
        <v>548</v>
      </c>
      <c r="B550" s="55">
        <v>1695</v>
      </c>
      <c r="C550" s="55" t="s">
        <v>38</v>
      </c>
      <c r="D550" s="175">
        <v>260</v>
      </c>
      <c r="H550" s="56"/>
      <c r="I550" s="56">
        <v>560</v>
      </c>
      <c r="J550" s="148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>
        <v>150</v>
      </c>
      <c r="Z550" s="57"/>
      <c r="AA550" s="57"/>
      <c r="AB550" s="57"/>
      <c r="AC550" s="57"/>
      <c r="AD550" s="57"/>
      <c r="AE550" s="57"/>
      <c r="AF550" s="57"/>
      <c r="AG550" s="57"/>
      <c r="AH550" s="57"/>
      <c r="AI550" s="57"/>
      <c r="AJ550" s="57"/>
      <c r="AK550" s="57">
        <v>150</v>
      </c>
      <c r="AL550" s="57"/>
      <c r="AM550" s="57"/>
      <c r="AN550" s="57"/>
      <c r="AO550" s="57"/>
      <c r="AP550" s="57"/>
      <c r="AQ550" s="57"/>
      <c r="AR550" s="57"/>
      <c r="AS550" s="57"/>
      <c r="AT550" s="57"/>
      <c r="AU550" s="58">
        <f t="shared" si="8"/>
        <v>260</v>
      </c>
      <c r="AV550" s="58"/>
    </row>
    <row r="551" spans="1:48" ht="13.5" customHeight="1">
      <c r="A551" s="82">
        <v>549</v>
      </c>
      <c r="B551" s="55">
        <v>1696</v>
      </c>
      <c r="C551" s="55" t="s">
        <v>38</v>
      </c>
      <c r="D551" s="175">
        <v>296</v>
      </c>
      <c r="H551" s="56"/>
      <c r="I551" s="56">
        <v>560</v>
      </c>
      <c r="J551" s="148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>
        <v>264</v>
      </c>
      <c r="V551" s="57"/>
      <c r="W551" s="57"/>
      <c r="X551" s="57"/>
      <c r="Y551" s="57"/>
      <c r="Z551" s="57"/>
      <c r="AA551" s="57"/>
      <c r="AB551" s="57"/>
      <c r="AC551" s="57"/>
      <c r="AD551" s="57"/>
      <c r="AE551" s="57"/>
      <c r="AF551" s="57"/>
      <c r="AG551" s="57"/>
      <c r="AH551" s="57"/>
      <c r="AI551" s="57"/>
      <c r="AJ551" s="57"/>
      <c r="AK551" s="57"/>
      <c r="AL551" s="57"/>
      <c r="AM551" s="57"/>
      <c r="AN551" s="57"/>
      <c r="AO551" s="57"/>
      <c r="AP551" s="57"/>
      <c r="AQ551" s="57"/>
      <c r="AR551" s="57"/>
      <c r="AS551" s="57"/>
      <c r="AT551" s="57"/>
      <c r="AU551" s="58">
        <f t="shared" si="8"/>
        <v>296</v>
      </c>
      <c r="AV551" s="58"/>
    </row>
    <row r="552" spans="1:48" ht="13.5" customHeight="1">
      <c r="A552" s="84">
        <v>550</v>
      </c>
      <c r="B552" s="55">
        <v>1701</v>
      </c>
      <c r="C552" s="55" t="s">
        <v>38</v>
      </c>
      <c r="D552" s="175">
        <v>785</v>
      </c>
      <c r="H552" s="56"/>
      <c r="I552" s="56">
        <v>1400</v>
      </c>
      <c r="J552" s="148"/>
      <c r="K552" s="57"/>
      <c r="L552" s="57"/>
      <c r="M552" s="57"/>
      <c r="N552" s="57"/>
      <c r="O552" s="57"/>
      <c r="P552" s="57"/>
      <c r="Q552" s="57"/>
      <c r="R552" s="57"/>
      <c r="S552" s="57"/>
      <c r="T552" s="57">
        <v>400</v>
      </c>
      <c r="U552" s="57">
        <v>215</v>
      </c>
      <c r="V552" s="57"/>
      <c r="W552" s="57"/>
      <c r="X552" s="57"/>
      <c r="Y552" s="57"/>
      <c r="Z552" s="57"/>
      <c r="AA552" s="57"/>
      <c r="AB552" s="57"/>
      <c r="AC552" s="57"/>
      <c r="AD552" s="57"/>
      <c r="AE552" s="57"/>
      <c r="AF552" s="57"/>
      <c r="AG552" s="57"/>
      <c r="AH552" s="57"/>
      <c r="AI552" s="57"/>
      <c r="AJ552" s="57"/>
      <c r="AK552" s="57"/>
      <c r="AL552" s="57"/>
      <c r="AM552" s="57"/>
      <c r="AN552" s="57"/>
      <c r="AO552" s="57"/>
      <c r="AP552" s="57"/>
      <c r="AQ552" s="57"/>
      <c r="AR552" s="57"/>
      <c r="AS552" s="57"/>
      <c r="AT552" s="57"/>
      <c r="AU552" s="58">
        <f t="shared" si="8"/>
        <v>785</v>
      </c>
      <c r="AV552" s="58"/>
    </row>
    <row r="553" spans="1:48" ht="13.5" customHeight="1">
      <c r="A553" s="84">
        <v>551</v>
      </c>
      <c r="B553" s="55">
        <v>1705</v>
      </c>
      <c r="C553" s="55" t="s">
        <v>38</v>
      </c>
      <c r="D553" s="175">
        <v>-70</v>
      </c>
      <c r="H553" s="56"/>
      <c r="I553" s="56">
        <v>80</v>
      </c>
      <c r="J553" s="148"/>
      <c r="K553" s="57"/>
      <c r="L553" s="57"/>
      <c r="M553" s="57"/>
      <c r="N553" s="57"/>
      <c r="O553" s="57"/>
      <c r="P553" s="57">
        <v>150</v>
      </c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  <c r="AE553" s="57"/>
      <c r="AF553" s="57"/>
      <c r="AG553" s="57"/>
      <c r="AH553" s="57"/>
      <c r="AI553" s="57"/>
      <c r="AJ553" s="57"/>
      <c r="AK553" s="57"/>
      <c r="AL553" s="57"/>
      <c r="AM553" s="57"/>
      <c r="AN553" s="57"/>
      <c r="AO553" s="57"/>
      <c r="AP553" s="57"/>
      <c r="AQ553" s="57"/>
      <c r="AR553" s="57"/>
      <c r="AS553" s="57"/>
      <c r="AT553" s="57"/>
      <c r="AU553" s="58">
        <f t="shared" si="8"/>
        <v>-70</v>
      </c>
      <c r="AV553" s="58"/>
    </row>
    <row r="554" spans="1:48" ht="13.5" customHeight="1">
      <c r="A554" s="82">
        <v>552</v>
      </c>
      <c r="B554" s="55">
        <v>1714</v>
      </c>
      <c r="C554" s="55" t="s">
        <v>38</v>
      </c>
      <c r="D554" s="175">
        <v>432</v>
      </c>
      <c r="H554" s="56"/>
      <c r="I554" s="56">
        <v>882</v>
      </c>
      <c r="J554" s="148"/>
      <c r="K554" s="57"/>
      <c r="L554" s="57"/>
      <c r="M554" s="57"/>
      <c r="N554" s="57"/>
      <c r="O554" s="57"/>
      <c r="P554" s="57"/>
      <c r="Q554" s="57"/>
      <c r="R554" s="57">
        <v>450</v>
      </c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/>
      <c r="AE554" s="57"/>
      <c r="AF554" s="57"/>
      <c r="AG554" s="57"/>
      <c r="AH554" s="57"/>
      <c r="AI554" s="57"/>
      <c r="AJ554" s="57"/>
      <c r="AK554" s="57"/>
      <c r="AL554" s="57"/>
      <c r="AM554" s="57"/>
      <c r="AN554" s="57"/>
      <c r="AO554" s="57"/>
      <c r="AP554" s="57"/>
      <c r="AQ554" s="57"/>
      <c r="AR554" s="57"/>
      <c r="AS554" s="57"/>
      <c r="AT554" s="57"/>
      <c r="AU554" s="58">
        <f t="shared" si="8"/>
        <v>432</v>
      </c>
      <c r="AV554" s="58"/>
    </row>
    <row r="555" spans="1:48" ht="13.5" customHeight="1">
      <c r="A555" s="84">
        <v>553</v>
      </c>
      <c r="B555" s="55">
        <v>1716</v>
      </c>
      <c r="C555" s="55" t="s">
        <v>38</v>
      </c>
      <c r="D555" s="175">
        <v>50</v>
      </c>
      <c r="H555" s="56"/>
      <c r="I555" s="56">
        <v>200</v>
      </c>
      <c r="J555" s="148"/>
      <c r="K555" s="57"/>
      <c r="L555" s="57"/>
      <c r="M555" s="57"/>
      <c r="N555" s="57"/>
      <c r="O555" s="57"/>
      <c r="P555" s="57"/>
      <c r="Q555" s="57">
        <v>150</v>
      </c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/>
      <c r="AE555" s="57"/>
      <c r="AF555" s="57"/>
      <c r="AG555" s="57"/>
      <c r="AH555" s="57"/>
      <c r="AI555" s="57"/>
      <c r="AJ555" s="57"/>
      <c r="AK555" s="57"/>
      <c r="AL555" s="57"/>
      <c r="AM555" s="57"/>
      <c r="AN555" s="57"/>
      <c r="AO555" s="57"/>
      <c r="AP555" s="57"/>
      <c r="AQ555" s="57"/>
      <c r="AR555" s="57"/>
      <c r="AS555" s="57"/>
      <c r="AT555" s="57"/>
      <c r="AU555" s="58">
        <f t="shared" si="8"/>
        <v>50</v>
      </c>
      <c r="AV555" s="58"/>
    </row>
    <row r="556" spans="1:48" ht="13.5" customHeight="1">
      <c r="A556" s="82">
        <v>554</v>
      </c>
      <c r="B556" s="55">
        <v>1723</v>
      </c>
      <c r="C556" s="55" t="s">
        <v>38</v>
      </c>
      <c r="D556" s="175">
        <v>-335.4</v>
      </c>
      <c r="H556" s="56"/>
      <c r="I556" s="56">
        <v>560</v>
      </c>
      <c r="J556" s="148"/>
      <c r="K556" s="57"/>
      <c r="L556" s="57"/>
      <c r="M556" s="57"/>
      <c r="N556" s="57"/>
      <c r="O556" s="57"/>
      <c r="P556" s="57">
        <v>235</v>
      </c>
      <c r="Q556" s="57"/>
      <c r="R556" s="57"/>
      <c r="S556" s="57"/>
      <c r="T556" s="57"/>
      <c r="U556" s="57">
        <v>411.2</v>
      </c>
      <c r="V556" s="57"/>
      <c r="W556" s="57"/>
      <c r="X556" s="57"/>
      <c r="Y556" s="57">
        <v>249.2</v>
      </c>
      <c r="Z556" s="57"/>
      <c r="AA556" s="57"/>
      <c r="AB556" s="57"/>
      <c r="AC556" s="57"/>
      <c r="AD556" s="57"/>
      <c r="AE556" s="57"/>
      <c r="AF556" s="57"/>
      <c r="AG556" s="57"/>
      <c r="AH556" s="57"/>
      <c r="AI556" s="57"/>
      <c r="AJ556" s="57"/>
      <c r="AK556" s="57"/>
      <c r="AL556" s="57"/>
      <c r="AM556" s="57"/>
      <c r="AN556" s="57"/>
      <c r="AO556" s="57"/>
      <c r="AP556" s="57"/>
      <c r="AQ556" s="57"/>
      <c r="AR556" s="57"/>
      <c r="AS556" s="57"/>
      <c r="AT556" s="57"/>
      <c r="AU556" s="58">
        <f t="shared" si="8"/>
        <v>-335.4</v>
      </c>
      <c r="AV556" s="58"/>
    </row>
    <row r="557" spans="1:48" ht="13.5" customHeight="1">
      <c r="A557" s="84">
        <v>555</v>
      </c>
      <c r="B557" s="55">
        <v>1726</v>
      </c>
      <c r="C557" s="55" t="s">
        <v>38</v>
      </c>
      <c r="D557" s="175">
        <v>330</v>
      </c>
      <c r="H557" s="56"/>
      <c r="I557" s="56">
        <v>560</v>
      </c>
      <c r="J557" s="148"/>
      <c r="K557" s="57"/>
      <c r="L557" s="57"/>
      <c r="M557" s="57"/>
      <c r="N557" s="57"/>
      <c r="O557" s="57"/>
      <c r="P557" s="57"/>
      <c r="Q557" s="57">
        <v>150</v>
      </c>
      <c r="R557" s="57"/>
      <c r="S557" s="57"/>
      <c r="T557" s="57"/>
      <c r="U557" s="57"/>
      <c r="V557" s="57"/>
      <c r="W557" s="57"/>
      <c r="X557" s="57"/>
      <c r="Y557" s="57"/>
      <c r="Z557" s="57"/>
      <c r="AA557" s="57">
        <v>80</v>
      </c>
      <c r="AB557" s="57"/>
      <c r="AC557" s="57"/>
      <c r="AD557" s="57"/>
      <c r="AE557" s="57"/>
      <c r="AF557" s="57"/>
      <c r="AG557" s="57"/>
      <c r="AH557" s="57"/>
      <c r="AI557" s="57"/>
      <c r="AJ557" s="57"/>
      <c r="AK557" s="57"/>
      <c r="AL557" s="57"/>
      <c r="AM557" s="57"/>
      <c r="AN557" s="57"/>
      <c r="AO557" s="57"/>
      <c r="AP557" s="57"/>
      <c r="AQ557" s="57"/>
      <c r="AR557" s="57"/>
      <c r="AS557" s="57"/>
      <c r="AT557" s="57"/>
      <c r="AU557" s="58">
        <f t="shared" si="8"/>
        <v>330</v>
      </c>
      <c r="AV557" s="58"/>
    </row>
    <row r="558" spans="1:48" ht="13.5" customHeight="1">
      <c r="A558" s="84">
        <v>556</v>
      </c>
      <c r="B558" s="55">
        <v>1728</v>
      </c>
      <c r="C558" s="55" t="s">
        <v>38</v>
      </c>
      <c r="D558" s="175">
        <v>30</v>
      </c>
      <c r="H558" s="56"/>
      <c r="I558" s="56">
        <v>80</v>
      </c>
      <c r="J558" s="148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>
        <v>50</v>
      </c>
      <c r="X558" s="57"/>
      <c r="Y558" s="57"/>
      <c r="Z558" s="57"/>
      <c r="AA558" s="57"/>
      <c r="AB558" s="57"/>
      <c r="AC558" s="57"/>
      <c r="AD558" s="57"/>
      <c r="AE558" s="57"/>
      <c r="AF558" s="57"/>
      <c r="AG558" s="57"/>
      <c r="AH558" s="57"/>
      <c r="AI558" s="57"/>
      <c r="AJ558" s="57"/>
      <c r="AK558" s="57"/>
      <c r="AL558" s="57"/>
      <c r="AM558" s="57"/>
      <c r="AN558" s="57"/>
      <c r="AO558" s="57"/>
      <c r="AP558" s="57"/>
      <c r="AQ558" s="57"/>
      <c r="AR558" s="57"/>
      <c r="AS558" s="57"/>
      <c r="AT558" s="57"/>
      <c r="AU558" s="58">
        <f t="shared" si="8"/>
        <v>30</v>
      </c>
      <c r="AV558" s="58"/>
    </row>
    <row r="559" spans="1:48" ht="13.5" customHeight="1">
      <c r="A559" s="82">
        <v>557</v>
      </c>
      <c r="B559" s="55">
        <v>1731</v>
      </c>
      <c r="C559" s="55" t="s">
        <v>38</v>
      </c>
      <c r="D559" s="176">
        <v>643.4</v>
      </c>
      <c r="E559" s="117"/>
      <c r="F559" s="117"/>
      <c r="G559" s="117"/>
      <c r="H559" s="116"/>
      <c r="I559" s="116">
        <v>1400</v>
      </c>
      <c r="J559" s="14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>
        <v>756.6</v>
      </c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  <c r="AE559" s="57"/>
      <c r="AF559" s="57"/>
      <c r="AG559" s="57"/>
      <c r="AH559" s="57"/>
      <c r="AI559" s="57"/>
      <c r="AJ559" s="57"/>
      <c r="AK559" s="57"/>
      <c r="AL559" s="57"/>
      <c r="AM559" s="57"/>
      <c r="AN559" s="57"/>
      <c r="AO559" s="57"/>
      <c r="AP559" s="57"/>
      <c r="AQ559" s="57"/>
      <c r="AR559" s="57"/>
      <c r="AS559" s="57"/>
      <c r="AT559" s="57"/>
      <c r="AU559" s="58">
        <f t="shared" si="8"/>
        <v>643.4</v>
      </c>
      <c r="AV559" s="58"/>
    </row>
    <row r="560" spans="1:48" ht="13.5" customHeight="1">
      <c r="A560" s="84">
        <v>558</v>
      </c>
      <c r="B560" s="55">
        <v>1741</v>
      </c>
      <c r="C560" s="55" t="s">
        <v>38</v>
      </c>
      <c r="D560" s="175">
        <v>323</v>
      </c>
      <c r="H560" s="56"/>
      <c r="I560" s="56">
        <v>560</v>
      </c>
      <c r="J560" s="148"/>
      <c r="K560" s="57"/>
      <c r="L560" s="57"/>
      <c r="M560" s="57"/>
      <c r="N560" s="57"/>
      <c r="O560" s="57"/>
      <c r="P560" s="57"/>
      <c r="Q560" s="57"/>
      <c r="R560" s="57">
        <v>237</v>
      </c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  <c r="AE560" s="57"/>
      <c r="AF560" s="57"/>
      <c r="AG560" s="57"/>
      <c r="AH560" s="57"/>
      <c r="AI560" s="57"/>
      <c r="AJ560" s="57"/>
      <c r="AK560" s="57"/>
      <c r="AL560" s="57"/>
      <c r="AM560" s="57"/>
      <c r="AN560" s="57"/>
      <c r="AO560" s="57"/>
      <c r="AP560" s="57"/>
      <c r="AQ560" s="57"/>
      <c r="AR560" s="57"/>
      <c r="AS560" s="57"/>
      <c r="AT560" s="57"/>
      <c r="AU560" s="58">
        <f t="shared" si="8"/>
        <v>323</v>
      </c>
      <c r="AV560" s="58"/>
    </row>
    <row r="561" spans="1:48" ht="13.5" customHeight="1">
      <c r="A561" s="82">
        <v>559</v>
      </c>
      <c r="B561" s="55">
        <v>1744</v>
      </c>
      <c r="C561" s="55" t="s">
        <v>38</v>
      </c>
      <c r="D561" s="176">
        <v>459</v>
      </c>
      <c r="E561" s="117"/>
      <c r="F561" s="117"/>
      <c r="G561" s="117"/>
      <c r="H561" s="116"/>
      <c r="I561" s="116">
        <v>882</v>
      </c>
      <c r="J561" s="14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57"/>
      <c r="V561" s="57"/>
      <c r="W561" s="57"/>
      <c r="X561" s="57">
        <v>423</v>
      </c>
      <c r="Y561" s="57"/>
      <c r="Z561" s="57"/>
      <c r="AA561" s="57"/>
      <c r="AB561" s="57"/>
      <c r="AC561" s="57"/>
      <c r="AD561" s="57"/>
      <c r="AE561" s="57"/>
      <c r="AF561" s="57"/>
      <c r="AG561" s="57"/>
      <c r="AH561" s="57"/>
      <c r="AI561" s="57"/>
      <c r="AJ561" s="57"/>
      <c r="AK561" s="57"/>
      <c r="AL561" s="57"/>
      <c r="AM561" s="57"/>
      <c r="AN561" s="57"/>
      <c r="AO561" s="57"/>
      <c r="AP561" s="57"/>
      <c r="AQ561" s="57"/>
      <c r="AR561" s="57"/>
      <c r="AS561" s="57"/>
      <c r="AT561" s="57"/>
      <c r="AU561" s="58">
        <f t="shared" si="8"/>
        <v>459</v>
      </c>
      <c r="AV561" s="58"/>
    </row>
    <row r="562" spans="1:48" ht="13.5" customHeight="1">
      <c r="A562" s="84">
        <v>560</v>
      </c>
      <c r="B562" s="55">
        <v>1756</v>
      </c>
      <c r="C562" s="55" t="s">
        <v>38</v>
      </c>
      <c r="D562" s="175">
        <v>25</v>
      </c>
      <c r="H562" s="56"/>
      <c r="I562" s="56">
        <v>350</v>
      </c>
      <c r="J562" s="148"/>
      <c r="K562" s="57"/>
      <c r="L562" s="57"/>
      <c r="M562" s="57"/>
      <c r="N562" s="57"/>
      <c r="O562" s="57"/>
      <c r="P562" s="57"/>
      <c r="Q562" s="57"/>
      <c r="R562" s="57"/>
      <c r="S562" s="57"/>
      <c r="T562" s="57">
        <v>225</v>
      </c>
      <c r="U562" s="57"/>
      <c r="V562" s="57"/>
      <c r="W562" s="57"/>
      <c r="X562" s="57"/>
      <c r="Y562" s="57"/>
      <c r="Z562" s="57"/>
      <c r="AA562" s="57"/>
      <c r="AB562" s="57"/>
      <c r="AC562" s="57"/>
      <c r="AD562" s="57"/>
      <c r="AE562" s="57"/>
      <c r="AF562" s="57"/>
      <c r="AG562" s="57"/>
      <c r="AH562" s="57"/>
      <c r="AI562" s="57"/>
      <c r="AJ562" s="57"/>
      <c r="AK562" s="57"/>
      <c r="AL562" s="57"/>
      <c r="AM562" s="57"/>
      <c r="AN562" s="57"/>
      <c r="AO562" s="57">
        <v>100</v>
      </c>
      <c r="AP562" s="57"/>
      <c r="AQ562" s="57"/>
      <c r="AR562" s="57"/>
      <c r="AS562" s="57"/>
      <c r="AT562" s="57"/>
      <c r="AU562" s="58">
        <f t="shared" si="8"/>
        <v>25</v>
      </c>
      <c r="AV562" s="58"/>
    </row>
    <row r="563" spans="1:48" ht="13.5" customHeight="1">
      <c r="A563" s="84">
        <v>561</v>
      </c>
      <c r="B563" s="55">
        <v>1758</v>
      </c>
      <c r="C563" s="85" t="s">
        <v>38</v>
      </c>
      <c r="D563" s="175">
        <v>86.899999999999949</v>
      </c>
      <c r="F563" s="45">
        <v>630</v>
      </c>
      <c r="G563" s="45">
        <f>F563*1.4</f>
        <v>882</v>
      </c>
      <c r="H563" s="56"/>
      <c r="I563" s="56">
        <v>882</v>
      </c>
      <c r="J563" s="148"/>
      <c r="K563" s="57"/>
      <c r="L563" s="57"/>
      <c r="M563" s="57"/>
      <c r="N563" s="57"/>
      <c r="O563" s="57"/>
      <c r="P563" s="57"/>
      <c r="Q563" s="57"/>
      <c r="R563" s="57"/>
      <c r="S563" s="57">
        <v>562.20000000000005</v>
      </c>
      <c r="T563" s="57"/>
      <c r="U563" s="57"/>
      <c r="V563" s="57"/>
      <c r="W563" s="57"/>
      <c r="X563" s="57"/>
      <c r="Y563" s="57"/>
      <c r="Z563" s="57"/>
      <c r="AA563" s="57"/>
      <c r="AB563" s="57">
        <v>232.9</v>
      </c>
      <c r="AC563" s="57"/>
      <c r="AD563" s="57"/>
      <c r="AE563" s="57"/>
      <c r="AF563" s="57"/>
      <c r="AG563" s="57"/>
      <c r="AH563" s="57"/>
      <c r="AI563" s="57"/>
      <c r="AJ563" s="57"/>
      <c r="AK563" s="57"/>
      <c r="AL563" s="57"/>
      <c r="AM563" s="57"/>
      <c r="AN563" s="57"/>
      <c r="AO563" s="57"/>
      <c r="AP563" s="57"/>
      <c r="AQ563" s="57"/>
      <c r="AR563" s="57"/>
      <c r="AS563" s="57"/>
      <c r="AT563" s="57"/>
      <c r="AU563" s="58">
        <f t="shared" si="8"/>
        <v>86.899999999999949</v>
      </c>
      <c r="AV563" s="58"/>
    </row>
    <row r="564" spans="1:48" ht="13.5" customHeight="1">
      <c r="A564" s="82">
        <v>562</v>
      </c>
      <c r="B564" s="55">
        <v>1771</v>
      </c>
      <c r="C564" s="55" t="s">
        <v>38</v>
      </c>
      <c r="D564" s="175">
        <v>341</v>
      </c>
      <c r="H564" s="56"/>
      <c r="I564" s="56">
        <v>560</v>
      </c>
      <c r="J564" s="148"/>
      <c r="K564" s="57"/>
      <c r="L564" s="57"/>
      <c r="M564" s="57"/>
      <c r="N564" s="57"/>
      <c r="O564" s="57"/>
      <c r="P564" s="57"/>
      <c r="Q564" s="57"/>
      <c r="R564" s="57">
        <v>219</v>
      </c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/>
      <c r="AE564" s="57"/>
      <c r="AF564" s="57"/>
      <c r="AG564" s="57"/>
      <c r="AH564" s="57"/>
      <c r="AI564" s="57"/>
      <c r="AJ564" s="57"/>
      <c r="AK564" s="57"/>
      <c r="AL564" s="57"/>
      <c r="AM564" s="57"/>
      <c r="AN564" s="57"/>
      <c r="AO564" s="57"/>
      <c r="AP564" s="57"/>
      <c r="AQ564" s="57"/>
      <c r="AR564" s="57"/>
      <c r="AS564" s="57"/>
      <c r="AT564" s="57"/>
      <c r="AU564" s="58">
        <f t="shared" si="8"/>
        <v>341</v>
      </c>
      <c r="AV564" s="58"/>
    </row>
    <row r="565" spans="1:48" ht="13.5" customHeight="1">
      <c r="A565" s="84">
        <v>563</v>
      </c>
      <c r="B565" s="55">
        <v>1782</v>
      </c>
      <c r="C565" s="55" t="s">
        <v>38</v>
      </c>
      <c r="D565" s="175">
        <v>-794</v>
      </c>
      <c r="H565" s="56"/>
      <c r="I565" s="56">
        <v>1400</v>
      </c>
      <c r="J565" s="148"/>
      <c r="K565" s="57"/>
      <c r="L565" s="57"/>
      <c r="M565" s="57"/>
      <c r="N565" s="57"/>
      <c r="O565" s="57"/>
      <c r="P565" s="57"/>
      <c r="Q565" s="57"/>
      <c r="R565" s="57"/>
      <c r="S565" s="57">
        <v>1960</v>
      </c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/>
      <c r="AE565" s="57"/>
      <c r="AF565" s="57"/>
      <c r="AG565" s="57"/>
      <c r="AH565" s="57"/>
      <c r="AI565" s="57"/>
      <c r="AJ565" s="57"/>
      <c r="AK565" s="57"/>
      <c r="AL565" s="57"/>
      <c r="AM565" s="57"/>
      <c r="AN565" s="57"/>
      <c r="AO565" s="57"/>
      <c r="AP565" s="57"/>
      <c r="AQ565" s="57"/>
      <c r="AR565" s="57">
        <v>234</v>
      </c>
      <c r="AS565" s="57"/>
      <c r="AT565" s="57"/>
      <c r="AU565" s="58">
        <f t="shared" si="8"/>
        <v>-794</v>
      </c>
      <c r="AV565" s="58"/>
    </row>
    <row r="566" spans="1:48" ht="13.5" customHeight="1">
      <c r="A566" s="82">
        <v>564</v>
      </c>
      <c r="B566" s="55">
        <v>1797</v>
      </c>
      <c r="C566" s="55" t="s">
        <v>38</v>
      </c>
      <c r="D566" s="153">
        <v>-583.74</v>
      </c>
      <c r="E566" s="55"/>
      <c r="F566" s="55"/>
      <c r="G566" s="55"/>
      <c r="H566" s="55"/>
      <c r="I566" s="55">
        <v>1400</v>
      </c>
      <c r="J566" s="153">
        <v>0</v>
      </c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7">
        <v>908.74</v>
      </c>
      <c r="V566" s="57"/>
      <c r="W566" s="57"/>
      <c r="X566" s="57"/>
      <c r="Y566" s="57"/>
      <c r="Z566" s="57"/>
      <c r="AA566" s="57">
        <v>960</v>
      </c>
      <c r="AB566" s="57"/>
      <c r="AC566" s="57"/>
      <c r="AD566" s="57"/>
      <c r="AE566" s="57"/>
      <c r="AF566" s="57"/>
      <c r="AG566" s="57">
        <v>115</v>
      </c>
      <c r="AH566" s="57"/>
      <c r="AI566" s="57"/>
      <c r="AJ566" s="57"/>
      <c r="AK566" s="57"/>
      <c r="AL566" s="57"/>
      <c r="AM566" s="57"/>
      <c r="AN566" s="57"/>
      <c r="AO566" s="57"/>
      <c r="AP566" s="57"/>
      <c r="AQ566" s="57"/>
      <c r="AR566" s="57"/>
      <c r="AS566" s="57"/>
      <c r="AT566" s="57"/>
      <c r="AU566" s="58">
        <f t="shared" si="8"/>
        <v>-583.74</v>
      </c>
      <c r="AV566" s="58"/>
    </row>
    <row r="567" spans="1:48" ht="13.5" customHeight="1">
      <c r="A567" s="84">
        <v>565</v>
      </c>
      <c r="B567" s="55">
        <v>1798</v>
      </c>
      <c r="C567" s="55" t="s">
        <v>38</v>
      </c>
      <c r="D567" s="175">
        <v>31.299999999999955</v>
      </c>
      <c r="H567" s="56"/>
      <c r="I567" s="56">
        <v>1400</v>
      </c>
      <c r="J567" s="148">
        <v>0</v>
      </c>
      <c r="K567" s="57"/>
      <c r="L567" s="57"/>
      <c r="M567" s="57"/>
      <c r="N567" s="57"/>
      <c r="O567" s="57"/>
      <c r="P567" s="57"/>
      <c r="Q567" s="57"/>
      <c r="R567" s="57"/>
      <c r="S567" s="57"/>
      <c r="T567" s="57">
        <v>198</v>
      </c>
      <c r="U567" s="57"/>
      <c r="V567" s="57"/>
      <c r="W567" s="57"/>
      <c r="X567" s="57"/>
      <c r="Y567" s="57">
        <v>30.7</v>
      </c>
      <c r="Z567" s="57">
        <v>1090</v>
      </c>
      <c r="AA567" s="57"/>
      <c r="AB567" s="57"/>
      <c r="AC567" s="57"/>
      <c r="AD567" s="57"/>
      <c r="AE567" s="57"/>
      <c r="AF567" s="57"/>
      <c r="AG567" s="57"/>
      <c r="AH567" s="57"/>
      <c r="AI567" s="57"/>
      <c r="AJ567" s="57"/>
      <c r="AK567" s="57"/>
      <c r="AL567" s="57"/>
      <c r="AM567" s="57"/>
      <c r="AN567" s="57"/>
      <c r="AO567" s="57"/>
      <c r="AP567" s="57"/>
      <c r="AQ567" s="57">
        <v>50</v>
      </c>
      <c r="AR567" s="57"/>
      <c r="AS567" s="57"/>
      <c r="AT567" s="57"/>
      <c r="AU567" s="58">
        <f t="shared" si="8"/>
        <v>31.299999999999955</v>
      </c>
      <c r="AV567" s="58"/>
    </row>
    <row r="568" spans="1:48" ht="13.5" customHeight="1">
      <c r="A568" s="84">
        <v>566</v>
      </c>
      <c r="B568" s="55">
        <v>1799</v>
      </c>
      <c r="C568" s="55" t="s">
        <v>38</v>
      </c>
      <c r="D568" s="175">
        <v>-757</v>
      </c>
      <c r="F568" s="45">
        <v>882</v>
      </c>
      <c r="G568" s="45">
        <v>882</v>
      </c>
      <c r="H568" s="56"/>
      <c r="I568" s="56">
        <v>882</v>
      </c>
      <c r="J568" s="148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>
        <v>525</v>
      </c>
      <c r="W568" s="57"/>
      <c r="X568" s="57">
        <v>954</v>
      </c>
      <c r="Y568" s="57"/>
      <c r="Z568" s="57"/>
      <c r="AA568" s="57"/>
      <c r="AB568" s="57"/>
      <c r="AC568" s="57"/>
      <c r="AD568" s="57"/>
      <c r="AE568" s="57"/>
      <c r="AF568" s="57">
        <v>0</v>
      </c>
      <c r="AG568" s="57"/>
      <c r="AH568" s="57"/>
      <c r="AI568" s="57"/>
      <c r="AJ568" s="57"/>
      <c r="AK568" s="57"/>
      <c r="AL568" s="57"/>
      <c r="AM568" s="57"/>
      <c r="AN568" s="57"/>
      <c r="AO568" s="57"/>
      <c r="AP568" s="57"/>
      <c r="AQ568" s="57"/>
      <c r="AR568" s="57"/>
      <c r="AS568" s="57"/>
      <c r="AT568" s="57">
        <v>160</v>
      </c>
      <c r="AU568" s="58">
        <f t="shared" si="8"/>
        <v>-757</v>
      </c>
      <c r="AV568" s="58"/>
    </row>
    <row r="569" spans="1:48" ht="13.5" customHeight="1">
      <c r="A569" s="82">
        <v>567</v>
      </c>
      <c r="B569" s="55">
        <v>1801</v>
      </c>
      <c r="C569" s="55" t="s">
        <v>38</v>
      </c>
      <c r="D569" s="175">
        <v>-426</v>
      </c>
      <c r="F569" s="45">
        <v>630</v>
      </c>
      <c r="G569" s="45">
        <f>F569*0.8</f>
        <v>504</v>
      </c>
      <c r="H569" s="56"/>
      <c r="I569" s="56">
        <v>504</v>
      </c>
      <c r="J569" s="148"/>
      <c r="K569" s="57"/>
      <c r="L569" s="57"/>
      <c r="M569" s="57"/>
      <c r="N569" s="57"/>
      <c r="O569" s="57"/>
      <c r="P569" s="57"/>
      <c r="Q569" s="57"/>
      <c r="R569" s="57"/>
      <c r="S569" s="57">
        <v>550</v>
      </c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/>
      <c r="AE569" s="57"/>
      <c r="AF569" s="57"/>
      <c r="AG569" s="57"/>
      <c r="AH569" s="57">
        <v>80</v>
      </c>
      <c r="AI569" s="57"/>
      <c r="AJ569" s="57"/>
      <c r="AK569" s="57"/>
      <c r="AL569" s="57">
        <v>300</v>
      </c>
      <c r="AM569" s="57"/>
      <c r="AN569" s="57"/>
      <c r="AO569" s="57"/>
      <c r="AP569" s="57"/>
      <c r="AQ569" s="57"/>
      <c r="AR569" s="57"/>
      <c r="AS569" s="57"/>
      <c r="AT569" s="57"/>
      <c r="AU569" s="58">
        <f t="shared" si="8"/>
        <v>-426</v>
      </c>
      <c r="AV569" s="58"/>
    </row>
    <row r="570" spans="1:48" ht="13.5" customHeight="1">
      <c r="A570" s="84">
        <v>568</v>
      </c>
      <c r="B570" s="85">
        <v>1809</v>
      </c>
      <c r="C570" s="85" t="s">
        <v>38</v>
      </c>
      <c r="D570" s="175">
        <v>8</v>
      </c>
      <c r="H570" s="56"/>
      <c r="I570" s="56">
        <v>128</v>
      </c>
      <c r="J570" s="148">
        <v>0</v>
      </c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57"/>
      <c r="AE570" s="57"/>
      <c r="AF570" s="57"/>
      <c r="AG570" s="57"/>
      <c r="AH570" s="57"/>
      <c r="AI570" s="57">
        <v>120</v>
      </c>
      <c r="AJ570" s="57"/>
      <c r="AK570" s="57"/>
      <c r="AL570" s="57"/>
      <c r="AM570" s="57"/>
      <c r="AN570" s="57"/>
      <c r="AO570" s="57"/>
      <c r="AP570" s="57"/>
      <c r="AQ570" s="57"/>
      <c r="AR570" s="57"/>
      <c r="AS570" s="57"/>
      <c r="AT570" s="57"/>
      <c r="AU570" s="58">
        <f t="shared" si="8"/>
        <v>8</v>
      </c>
      <c r="AV570" s="58"/>
    </row>
    <row r="571" spans="1:48" ht="13.5" customHeight="1">
      <c r="A571" s="82">
        <v>569</v>
      </c>
      <c r="B571" s="55">
        <v>1811</v>
      </c>
      <c r="C571" s="55" t="s">
        <v>38</v>
      </c>
      <c r="D571" s="175">
        <v>-10</v>
      </c>
      <c r="H571" s="56"/>
      <c r="I571" s="56">
        <v>80</v>
      </c>
      <c r="J571" s="148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>
        <v>50</v>
      </c>
      <c r="X571" s="57"/>
      <c r="Y571" s="57"/>
      <c r="Z571" s="57"/>
      <c r="AA571" s="57"/>
      <c r="AB571" s="57"/>
      <c r="AC571" s="57">
        <v>40</v>
      </c>
      <c r="AD571" s="57"/>
      <c r="AE571" s="57"/>
      <c r="AF571" s="57"/>
      <c r="AG571" s="57"/>
      <c r="AH571" s="57"/>
      <c r="AI571" s="57"/>
      <c r="AJ571" s="57"/>
      <c r="AK571" s="57"/>
      <c r="AL571" s="57"/>
      <c r="AM571" s="57"/>
      <c r="AN571" s="57"/>
      <c r="AO571" s="57"/>
      <c r="AP571" s="57"/>
      <c r="AQ571" s="57"/>
      <c r="AR571" s="57"/>
      <c r="AS571" s="57"/>
      <c r="AT571" s="57"/>
      <c r="AU571" s="58">
        <f t="shared" si="8"/>
        <v>-10</v>
      </c>
      <c r="AV571" s="58"/>
    </row>
    <row r="572" spans="1:48" ht="13.5" customHeight="1">
      <c r="A572" s="84">
        <v>570</v>
      </c>
      <c r="B572" s="55">
        <v>1812</v>
      </c>
      <c r="C572" s="55" t="s">
        <v>38</v>
      </c>
      <c r="D572" s="175">
        <v>10</v>
      </c>
      <c r="H572" s="56"/>
      <c r="I572" s="56">
        <v>560</v>
      </c>
      <c r="J572" s="148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>
        <v>400</v>
      </c>
      <c r="AA572" s="57"/>
      <c r="AB572" s="57">
        <v>150</v>
      </c>
      <c r="AC572" s="57"/>
      <c r="AD572" s="57"/>
      <c r="AE572" s="57"/>
      <c r="AF572" s="57"/>
      <c r="AG572" s="57"/>
      <c r="AH572" s="57"/>
      <c r="AI572" s="57"/>
      <c r="AJ572" s="57"/>
      <c r="AK572" s="57"/>
      <c r="AL572" s="57"/>
      <c r="AM572" s="57"/>
      <c r="AN572" s="57"/>
      <c r="AO572" s="57"/>
      <c r="AP572" s="57"/>
      <c r="AQ572" s="57"/>
      <c r="AR572" s="57"/>
      <c r="AS572" s="57"/>
      <c r="AT572" s="57"/>
      <c r="AU572" s="58">
        <f t="shared" si="8"/>
        <v>10</v>
      </c>
      <c r="AV572" s="58"/>
    </row>
    <row r="573" spans="1:48" ht="13.5" customHeight="1">
      <c r="A573" s="84">
        <v>571</v>
      </c>
      <c r="B573" s="55">
        <v>1813</v>
      </c>
      <c r="C573" s="55" t="s">
        <v>38</v>
      </c>
      <c r="D573" s="175">
        <v>23</v>
      </c>
      <c r="H573" s="56"/>
      <c r="I573" s="56">
        <v>128</v>
      </c>
      <c r="J573" s="148"/>
      <c r="K573" s="57"/>
      <c r="L573" s="57"/>
      <c r="M573" s="57"/>
      <c r="N573" s="57"/>
      <c r="O573" s="57"/>
      <c r="P573" s="57"/>
      <c r="Q573" s="57"/>
      <c r="R573" s="57"/>
      <c r="S573" s="57"/>
      <c r="T573" s="57">
        <v>35</v>
      </c>
      <c r="U573" s="57"/>
      <c r="V573" s="57"/>
      <c r="W573" s="57"/>
      <c r="X573" s="57">
        <v>40</v>
      </c>
      <c r="Y573" s="57"/>
      <c r="Z573" s="57"/>
      <c r="AA573" s="57"/>
      <c r="AB573" s="57">
        <v>30</v>
      </c>
      <c r="AC573" s="57"/>
      <c r="AD573" s="57"/>
      <c r="AE573" s="57"/>
      <c r="AF573" s="57"/>
      <c r="AG573" s="57"/>
      <c r="AH573" s="57"/>
      <c r="AI573" s="57"/>
      <c r="AJ573" s="57"/>
      <c r="AK573" s="57"/>
      <c r="AL573" s="57"/>
      <c r="AM573" s="57"/>
      <c r="AN573" s="57"/>
      <c r="AO573" s="57"/>
      <c r="AP573" s="57"/>
      <c r="AQ573" s="57"/>
      <c r="AR573" s="57"/>
      <c r="AS573" s="57"/>
      <c r="AT573" s="57"/>
      <c r="AU573" s="58">
        <f t="shared" si="8"/>
        <v>23</v>
      </c>
      <c r="AV573" s="58"/>
    </row>
    <row r="574" spans="1:48" ht="13.5" customHeight="1">
      <c r="A574" s="82">
        <v>572</v>
      </c>
      <c r="B574" s="55">
        <v>1822</v>
      </c>
      <c r="C574" s="55" t="s">
        <v>38</v>
      </c>
      <c r="D574" s="175">
        <v>313.10000000000002</v>
      </c>
      <c r="H574" s="56"/>
      <c r="I574" s="56">
        <v>882</v>
      </c>
      <c r="J574" s="148">
        <v>0</v>
      </c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57"/>
      <c r="AE574" s="57"/>
      <c r="AF574" s="57"/>
      <c r="AG574" s="57"/>
      <c r="AH574" s="57"/>
      <c r="AI574" s="57">
        <v>568.9</v>
      </c>
      <c r="AJ574" s="57"/>
      <c r="AK574" s="57"/>
      <c r="AL574" s="57"/>
      <c r="AM574" s="57"/>
      <c r="AN574" s="57"/>
      <c r="AO574" s="57"/>
      <c r="AP574" s="57"/>
      <c r="AQ574" s="57"/>
      <c r="AR574" s="57"/>
      <c r="AS574" s="57"/>
      <c r="AT574" s="57"/>
      <c r="AU574" s="58">
        <f t="shared" si="8"/>
        <v>313.10000000000002</v>
      </c>
      <c r="AV574" s="58"/>
    </row>
    <row r="575" spans="1:48" ht="13.5" customHeight="1">
      <c r="A575" s="84">
        <v>573</v>
      </c>
      <c r="B575" s="55">
        <v>1824</v>
      </c>
      <c r="C575" s="55" t="s">
        <v>38</v>
      </c>
      <c r="D575" s="175">
        <v>-1060</v>
      </c>
      <c r="H575" s="56"/>
      <c r="I575" s="56">
        <v>2200</v>
      </c>
      <c r="J575" s="148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>
        <v>3100</v>
      </c>
      <c r="V575" s="57"/>
      <c r="W575" s="57"/>
      <c r="X575" s="57"/>
      <c r="Y575" s="57"/>
      <c r="Z575" s="57"/>
      <c r="AA575" s="57"/>
      <c r="AB575" s="57"/>
      <c r="AC575" s="57"/>
      <c r="AD575" s="57"/>
      <c r="AE575" s="57"/>
      <c r="AF575" s="57"/>
      <c r="AG575" s="57"/>
      <c r="AH575" s="57"/>
      <c r="AI575" s="57"/>
      <c r="AJ575" s="57">
        <v>120</v>
      </c>
      <c r="AK575" s="57"/>
      <c r="AL575" s="57">
        <v>40</v>
      </c>
      <c r="AM575" s="57"/>
      <c r="AN575" s="57"/>
      <c r="AO575" s="57"/>
      <c r="AP575" s="57"/>
      <c r="AQ575" s="57"/>
      <c r="AR575" s="57"/>
      <c r="AS575" s="57"/>
      <c r="AT575" s="57"/>
      <c r="AU575" s="58">
        <f t="shared" si="8"/>
        <v>-1060</v>
      </c>
      <c r="AV575" s="58"/>
    </row>
    <row r="576" spans="1:48" ht="13.5" customHeight="1">
      <c r="A576" s="82">
        <v>574</v>
      </c>
      <c r="B576" s="55">
        <v>1827</v>
      </c>
      <c r="C576" s="55" t="s">
        <v>38</v>
      </c>
      <c r="D576" s="175">
        <v>184</v>
      </c>
      <c r="H576" s="56"/>
      <c r="I576" s="56">
        <f>504</f>
        <v>504</v>
      </c>
      <c r="J576" s="148">
        <f>180+50+25</f>
        <v>255</v>
      </c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>
        <v>30</v>
      </c>
      <c r="V576" s="57"/>
      <c r="W576" s="57"/>
      <c r="X576" s="57"/>
      <c r="Y576" s="57"/>
      <c r="Z576" s="57"/>
      <c r="AA576" s="57"/>
      <c r="AB576" s="57"/>
      <c r="AC576" s="57">
        <v>35</v>
      </c>
      <c r="AD576" s="57"/>
      <c r="AE576" s="57"/>
      <c r="AF576" s="57"/>
      <c r="AG576" s="57"/>
      <c r="AH576" s="57"/>
      <c r="AI576" s="57"/>
      <c r="AJ576" s="57"/>
      <c r="AK576" s="57"/>
      <c r="AL576" s="57"/>
      <c r="AM576" s="57"/>
      <c r="AN576" s="57"/>
      <c r="AO576" s="57"/>
      <c r="AP576" s="57"/>
      <c r="AQ576" s="57"/>
      <c r="AR576" s="57"/>
      <c r="AS576" s="57"/>
      <c r="AT576" s="57"/>
      <c r="AU576" s="58">
        <f t="shared" si="8"/>
        <v>184</v>
      </c>
      <c r="AV576" s="58"/>
    </row>
    <row r="577" spans="1:48" ht="13.5" customHeight="1">
      <c r="A577" s="84">
        <v>575</v>
      </c>
      <c r="B577" s="55">
        <v>1847</v>
      </c>
      <c r="C577" s="55" t="s">
        <v>38</v>
      </c>
      <c r="D577" s="175">
        <v>-10</v>
      </c>
      <c r="F577" s="45">
        <v>80</v>
      </c>
      <c r="G577" s="45">
        <v>80</v>
      </c>
      <c r="H577" s="56"/>
      <c r="I577" s="56">
        <v>80</v>
      </c>
      <c r="J577" s="148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>
        <v>90</v>
      </c>
      <c r="W577" s="57"/>
      <c r="X577" s="57"/>
      <c r="Y577" s="57"/>
      <c r="Z577" s="57"/>
      <c r="AA577" s="57"/>
      <c r="AB577" s="57"/>
      <c r="AC577" s="57"/>
      <c r="AD577" s="57"/>
      <c r="AE577" s="57"/>
      <c r="AF577" s="57"/>
      <c r="AG577" s="57"/>
      <c r="AH577" s="57"/>
      <c r="AI577" s="57"/>
      <c r="AJ577" s="57"/>
      <c r="AK577" s="57"/>
      <c r="AL577" s="57"/>
      <c r="AM577" s="57"/>
      <c r="AN577" s="57"/>
      <c r="AO577" s="57"/>
      <c r="AP577" s="57"/>
      <c r="AQ577" s="57"/>
      <c r="AR577" s="57"/>
      <c r="AS577" s="57"/>
      <c r="AT577" s="57"/>
      <c r="AU577" s="58">
        <f t="shared" si="8"/>
        <v>-10</v>
      </c>
      <c r="AV577" s="58"/>
    </row>
    <row r="578" spans="1:48" ht="13.5" customHeight="1">
      <c r="A578" s="84">
        <v>576</v>
      </c>
      <c r="B578" s="55">
        <v>1856</v>
      </c>
      <c r="C578" s="55" t="s">
        <v>38</v>
      </c>
      <c r="D578" s="175">
        <v>441.76000000000005</v>
      </c>
      <c r="H578" s="56"/>
      <c r="I578" s="56">
        <v>1400</v>
      </c>
      <c r="J578" s="148">
        <v>871.54</v>
      </c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57"/>
      <c r="AE578" s="57"/>
      <c r="AF578" s="57"/>
      <c r="AG578" s="57"/>
      <c r="AH578" s="57"/>
      <c r="AI578" s="57"/>
      <c r="AJ578" s="57">
        <v>35</v>
      </c>
      <c r="AK578" s="57"/>
      <c r="AL578" s="57">
        <v>21.7</v>
      </c>
      <c r="AM578" s="57">
        <v>30</v>
      </c>
      <c r="AN578" s="57"/>
      <c r="AO578" s="57"/>
      <c r="AP578" s="57"/>
      <c r="AQ578" s="57"/>
      <c r="AR578" s="57"/>
      <c r="AS578" s="57"/>
      <c r="AT578" s="57"/>
      <c r="AU578" s="58">
        <f t="shared" si="8"/>
        <v>441.76000000000005</v>
      </c>
      <c r="AV578" s="58"/>
    </row>
    <row r="579" spans="1:48" ht="13.5" customHeight="1">
      <c r="A579" s="82">
        <v>577</v>
      </c>
      <c r="B579" s="55">
        <v>1863</v>
      </c>
      <c r="C579" s="55" t="s">
        <v>38</v>
      </c>
      <c r="D579" s="175">
        <v>-3</v>
      </c>
      <c r="H579" s="56"/>
      <c r="I579" s="56">
        <v>32</v>
      </c>
      <c r="J579" s="148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>
        <v>35</v>
      </c>
      <c r="X579" s="57"/>
      <c r="Y579" s="57"/>
      <c r="Z579" s="57"/>
      <c r="AA579" s="57"/>
      <c r="AB579" s="57"/>
      <c r="AC579" s="57"/>
      <c r="AD579" s="57"/>
      <c r="AE579" s="57"/>
      <c r="AF579" s="57"/>
      <c r="AG579" s="57"/>
      <c r="AH579" s="57"/>
      <c r="AI579" s="57"/>
      <c r="AJ579" s="57"/>
      <c r="AK579" s="57"/>
      <c r="AL579" s="57"/>
      <c r="AM579" s="57"/>
      <c r="AN579" s="57"/>
      <c r="AO579" s="57"/>
      <c r="AP579" s="57"/>
      <c r="AQ579" s="57"/>
      <c r="AR579" s="57"/>
      <c r="AS579" s="57"/>
      <c r="AT579" s="57"/>
      <c r="AU579" s="58">
        <f t="shared" si="8"/>
        <v>-3</v>
      </c>
      <c r="AV579" s="58"/>
    </row>
    <row r="580" spans="1:48" ht="13.5" customHeight="1">
      <c r="A580" s="84">
        <v>578</v>
      </c>
      <c r="B580" s="55">
        <v>1867</v>
      </c>
      <c r="C580" s="55" t="s">
        <v>38</v>
      </c>
      <c r="D580" s="175">
        <v>-22</v>
      </c>
      <c r="H580" s="56"/>
      <c r="I580" s="56">
        <v>128</v>
      </c>
      <c r="J580" s="148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>
        <v>150</v>
      </c>
      <c r="X580" s="57"/>
      <c r="Y580" s="57"/>
      <c r="Z580" s="57"/>
      <c r="AA580" s="57"/>
      <c r="AB580" s="57"/>
      <c r="AC580" s="57"/>
      <c r="AD580" s="57"/>
      <c r="AE580" s="57"/>
      <c r="AF580" s="57"/>
      <c r="AG580" s="57"/>
      <c r="AH580" s="57"/>
      <c r="AI580" s="57"/>
      <c r="AJ580" s="57"/>
      <c r="AK580" s="57"/>
      <c r="AL580" s="57"/>
      <c r="AM580" s="57"/>
      <c r="AN580" s="57"/>
      <c r="AO580" s="57"/>
      <c r="AP580" s="57"/>
      <c r="AQ580" s="57"/>
      <c r="AR580" s="57"/>
      <c r="AS580" s="57"/>
      <c r="AT580" s="57"/>
      <c r="AU580" s="58">
        <f t="shared" ref="AU580:AU643" si="9">I580-J580-K580-L580-M580-N580-O580-P580-Q580-R580-S580-T580-U580-V580-W580-X580-Y580-Z580-AA580-AB580-AC580-AD580-AE580-AF580-AG580-AH580-AI580-AJ580-AK580-AL580-AM580-AN580-AO580-AP580-AQ580-AR580-AS580-AT580</f>
        <v>-22</v>
      </c>
      <c r="AV580" s="58"/>
    </row>
    <row r="581" spans="1:48" ht="13.5" customHeight="1">
      <c r="A581" s="82">
        <v>579</v>
      </c>
      <c r="B581" s="55">
        <v>1885</v>
      </c>
      <c r="C581" s="55" t="s">
        <v>38</v>
      </c>
      <c r="D581" s="175">
        <v>587.5</v>
      </c>
      <c r="H581" s="56"/>
      <c r="I581" s="56">
        <v>1400</v>
      </c>
      <c r="J581" s="148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>
        <v>502</v>
      </c>
      <c r="Y581" s="57"/>
      <c r="Z581" s="57"/>
      <c r="AA581" s="57"/>
      <c r="AB581" s="57"/>
      <c r="AC581" s="57"/>
      <c r="AD581" s="57"/>
      <c r="AE581" s="57"/>
      <c r="AF581" s="57"/>
      <c r="AG581" s="57"/>
      <c r="AH581" s="57">
        <v>120</v>
      </c>
      <c r="AI581" s="57"/>
      <c r="AJ581" s="57"/>
      <c r="AK581" s="57"/>
      <c r="AL581" s="57"/>
      <c r="AM581" s="57"/>
      <c r="AN581" s="57"/>
      <c r="AO581" s="57">
        <v>40.5</v>
      </c>
      <c r="AP581" s="57"/>
      <c r="AQ581" s="57"/>
      <c r="AR581" s="57">
        <v>150</v>
      </c>
      <c r="AS581" s="57"/>
      <c r="AT581" s="57"/>
      <c r="AU581" s="58">
        <f t="shared" si="9"/>
        <v>587.5</v>
      </c>
      <c r="AV581" s="58"/>
    </row>
    <row r="582" spans="1:48" ht="13.5" customHeight="1">
      <c r="A582" s="84">
        <v>580</v>
      </c>
      <c r="B582" s="55">
        <v>1894</v>
      </c>
      <c r="C582" s="55" t="s">
        <v>38</v>
      </c>
      <c r="D582" s="175">
        <v>-105</v>
      </c>
      <c r="H582" s="56"/>
      <c r="I582" s="56">
        <v>80</v>
      </c>
      <c r="J582" s="148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>
        <v>50</v>
      </c>
      <c r="Y582" s="57">
        <v>80</v>
      </c>
      <c r="Z582" s="57"/>
      <c r="AA582" s="57">
        <v>55</v>
      </c>
      <c r="AB582" s="57"/>
      <c r="AC582" s="57"/>
      <c r="AD582" s="57"/>
      <c r="AE582" s="57"/>
      <c r="AF582" s="57"/>
      <c r="AG582" s="57"/>
      <c r="AH582" s="57"/>
      <c r="AI582" s="57"/>
      <c r="AJ582" s="57"/>
      <c r="AK582" s="57"/>
      <c r="AL582" s="57"/>
      <c r="AM582" s="57"/>
      <c r="AN582" s="57"/>
      <c r="AO582" s="57"/>
      <c r="AP582" s="57"/>
      <c r="AQ582" s="57"/>
      <c r="AR582" s="57"/>
      <c r="AS582" s="57"/>
      <c r="AT582" s="57"/>
      <c r="AU582" s="58">
        <f t="shared" si="9"/>
        <v>-105</v>
      </c>
      <c r="AV582" s="58"/>
    </row>
    <row r="583" spans="1:48" ht="13.5" customHeight="1">
      <c r="A583" s="84">
        <v>581</v>
      </c>
      <c r="B583" s="55">
        <v>1904</v>
      </c>
      <c r="C583" s="55" t="s">
        <v>38</v>
      </c>
      <c r="D583" s="175">
        <v>-899.8</v>
      </c>
      <c r="H583" s="56"/>
      <c r="I583" s="56">
        <v>882</v>
      </c>
      <c r="J583" s="148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>
        <v>459.3</v>
      </c>
      <c r="Z583" s="57"/>
      <c r="AA583" s="57"/>
      <c r="AB583" s="57"/>
      <c r="AC583" s="57">
        <v>246.5</v>
      </c>
      <c r="AD583" s="57">
        <v>416</v>
      </c>
      <c r="AE583" s="57"/>
      <c r="AF583" s="57"/>
      <c r="AG583" s="57"/>
      <c r="AH583" s="57">
        <v>260</v>
      </c>
      <c r="AI583" s="57">
        <v>120</v>
      </c>
      <c r="AJ583" s="57">
        <v>280</v>
      </c>
      <c r="AK583" s="57"/>
      <c r="AL583" s="57"/>
      <c r="AM583" s="57"/>
      <c r="AN583" s="57"/>
      <c r="AO583" s="57"/>
      <c r="AP583" s="57"/>
      <c r="AQ583" s="57"/>
      <c r="AR583" s="57"/>
      <c r="AS583" s="57"/>
      <c r="AT583" s="57"/>
      <c r="AU583" s="58">
        <f t="shared" si="9"/>
        <v>-899.8</v>
      </c>
      <c r="AV583" s="58"/>
    </row>
    <row r="584" spans="1:48" ht="13.5" customHeight="1">
      <c r="A584" s="82">
        <v>582</v>
      </c>
      <c r="B584" s="55">
        <v>1917</v>
      </c>
      <c r="C584" s="55" t="s">
        <v>38</v>
      </c>
      <c r="D584" s="175">
        <v>-504.11</v>
      </c>
      <c r="H584" s="56"/>
      <c r="I584" s="56">
        <v>882</v>
      </c>
      <c r="J584" s="148">
        <v>0</v>
      </c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57"/>
      <c r="AE584" s="57">
        <v>495.45</v>
      </c>
      <c r="AF584" s="57"/>
      <c r="AG584" s="57"/>
      <c r="AH584" s="57"/>
      <c r="AI584" s="57"/>
      <c r="AJ584" s="57"/>
      <c r="AK584" s="57">
        <v>549.73</v>
      </c>
      <c r="AL584" s="57"/>
      <c r="AM584" s="57"/>
      <c r="AN584" s="57"/>
      <c r="AO584" s="57"/>
      <c r="AP584" s="57"/>
      <c r="AQ584" s="57">
        <v>340.93</v>
      </c>
      <c r="AR584" s="57"/>
      <c r="AS584" s="57"/>
      <c r="AT584" s="57"/>
      <c r="AU584" s="58">
        <f t="shared" si="9"/>
        <v>-504.11</v>
      </c>
      <c r="AV584" s="58"/>
    </row>
    <row r="585" spans="1:48" ht="13.5" customHeight="1">
      <c r="A585" s="84">
        <v>583</v>
      </c>
      <c r="B585" s="55">
        <v>1922</v>
      </c>
      <c r="C585" s="55" t="s">
        <v>38</v>
      </c>
      <c r="D585" s="175">
        <v>919</v>
      </c>
      <c r="H585" s="56"/>
      <c r="I585" s="56">
        <v>1400</v>
      </c>
      <c r="J585" s="148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>
        <v>900</v>
      </c>
      <c r="AD585" s="57"/>
      <c r="AE585" s="57"/>
      <c r="AF585" s="57"/>
      <c r="AG585" s="57"/>
      <c r="AH585" s="57">
        <v>-419</v>
      </c>
      <c r="AI585" s="57"/>
      <c r="AJ585" s="57"/>
      <c r="AK585" s="57"/>
      <c r="AL585" s="57"/>
      <c r="AM585" s="57"/>
      <c r="AN585" s="57"/>
      <c r="AO585" s="57"/>
      <c r="AP585" s="57"/>
      <c r="AQ585" s="57"/>
      <c r="AR585" s="57"/>
      <c r="AS585" s="57"/>
      <c r="AT585" s="57"/>
      <c r="AU585" s="58">
        <f t="shared" si="9"/>
        <v>919</v>
      </c>
      <c r="AV585" s="58"/>
    </row>
    <row r="586" spans="1:48" ht="13.5" customHeight="1">
      <c r="A586" s="82">
        <v>584</v>
      </c>
      <c r="B586" s="235">
        <v>1926</v>
      </c>
      <c r="C586" s="235" t="s">
        <v>38</v>
      </c>
      <c r="D586" s="205">
        <v>-283.88</v>
      </c>
      <c r="E586" s="206"/>
      <c r="F586" s="206"/>
      <c r="G586" s="206"/>
      <c r="H586" s="207"/>
      <c r="I586" s="207">
        <v>350</v>
      </c>
      <c r="J586" s="208"/>
      <c r="K586" s="209"/>
      <c r="L586" s="209"/>
      <c r="M586" s="209"/>
      <c r="N586" s="209"/>
      <c r="O586" s="209"/>
      <c r="P586" s="209"/>
      <c r="Q586" s="209"/>
      <c r="R586" s="209"/>
      <c r="S586" s="209"/>
      <c r="T586" s="209"/>
      <c r="U586" s="209"/>
      <c r="V586" s="209"/>
      <c r="W586" s="209"/>
      <c r="X586" s="209"/>
      <c r="Y586" s="209"/>
      <c r="Z586" s="209"/>
      <c r="AA586" s="209"/>
      <c r="AB586" s="209"/>
      <c r="AC586" s="209"/>
      <c r="AD586" s="209">
        <v>210.9</v>
      </c>
      <c r="AE586" s="209"/>
      <c r="AF586" s="209"/>
      <c r="AG586" s="209"/>
      <c r="AH586" s="209"/>
      <c r="AI586" s="209"/>
      <c r="AJ586" s="209"/>
      <c r="AK586" s="209"/>
      <c r="AL586" s="209"/>
      <c r="AM586" s="209"/>
      <c r="AN586" s="209"/>
      <c r="AO586" s="209"/>
      <c r="AP586" s="209"/>
      <c r="AQ586" s="209"/>
      <c r="AR586" s="209"/>
      <c r="AS586" s="209">
        <v>422.98</v>
      </c>
      <c r="AT586" s="209"/>
      <c r="AU586" s="58">
        <f t="shared" si="9"/>
        <v>-283.88</v>
      </c>
      <c r="AV586" s="58"/>
    </row>
    <row r="587" spans="1:48" ht="13.5" customHeight="1">
      <c r="A587" s="84">
        <v>585</v>
      </c>
      <c r="B587" s="55">
        <v>1943</v>
      </c>
      <c r="C587" s="55" t="s">
        <v>38</v>
      </c>
      <c r="D587" s="175">
        <v>264</v>
      </c>
      <c r="H587" s="56"/>
      <c r="I587" s="56">
        <v>504</v>
      </c>
      <c r="J587" s="148">
        <v>110</v>
      </c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  <c r="AE587" s="57"/>
      <c r="AF587" s="57"/>
      <c r="AG587" s="57"/>
      <c r="AH587" s="57"/>
      <c r="AI587" s="57"/>
      <c r="AJ587" s="57"/>
      <c r="AK587" s="57"/>
      <c r="AL587" s="57"/>
      <c r="AM587" s="57"/>
      <c r="AN587" s="57"/>
      <c r="AO587" s="57">
        <v>130</v>
      </c>
      <c r="AP587" s="57"/>
      <c r="AQ587" s="57"/>
      <c r="AR587" s="57"/>
      <c r="AS587" s="57"/>
      <c r="AT587" s="57"/>
      <c r="AU587" s="58">
        <f t="shared" si="9"/>
        <v>264</v>
      </c>
      <c r="AV587" s="58"/>
    </row>
    <row r="588" spans="1:48" ht="13.5" customHeight="1">
      <c r="A588" s="84">
        <v>586</v>
      </c>
      <c r="B588" s="55">
        <v>1948</v>
      </c>
      <c r="C588" s="55" t="s">
        <v>38</v>
      </c>
      <c r="D588" s="175">
        <v>-19</v>
      </c>
      <c r="H588" s="56"/>
      <c r="I588" s="56">
        <v>128</v>
      </c>
      <c r="J588" s="148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>
        <v>147</v>
      </c>
      <c r="AD588" s="57"/>
      <c r="AE588" s="57"/>
      <c r="AF588" s="57"/>
      <c r="AG588" s="57"/>
      <c r="AH588" s="57"/>
      <c r="AI588" s="57"/>
      <c r="AJ588" s="57"/>
      <c r="AK588" s="57"/>
      <c r="AL588" s="57"/>
      <c r="AM588" s="57"/>
      <c r="AN588" s="57"/>
      <c r="AO588" s="57"/>
      <c r="AP588" s="57"/>
      <c r="AQ588" s="57"/>
      <c r="AR588" s="57"/>
      <c r="AS588" s="57"/>
      <c r="AT588" s="57"/>
      <c r="AU588" s="58">
        <f t="shared" si="9"/>
        <v>-19</v>
      </c>
      <c r="AV588" s="58"/>
    </row>
    <row r="589" spans="1:48" ht="13.5" customHeight="1">
      <c r="A589" s="82">
        <v>587</v>
      </c>
      <c r="B589" s="55">
        <v>1951</v>
      </c>
      <c r="C589" s="55" t="s">
        <v>38</v>
      </c>
      <c r="D589" s="175">
        <v>-202</v>
      </c>
      <c r="H589" s="56"/>
      <c r="I589" s="56">
        <v>128</v>
      </c>
      <c r="J589" s="148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>
        <v>150</v>
      </c>
      <c r="AD589" s="57"/>
      <c r="AE589" s="57"/>
      <c r="AF589" s="57"/>
      <c r="AG589" s="57"/>
      <c r="AH589" s="57">
        <v>100</v>
      </c>
      <c r="AI589" s="57"/>
      <c r="AJ589" s="57"/>
      <c r="AK589" s="57"/>
      <c r="AL589" s="57"/>
      <c r="AM589" s="57"/>
      <c r="AN589" s="57">
        <v>80</v>
      </c>
      <c r="AO589" s="57"/>
      <c r="AP589" s="57"/>
      <c r="AQ589" s="57"/>
      <c r="AR589" s="57"/>
      <c r="AS589" s="57"/>
      <c r="AT589" s="57"/>
      <c r="AU589" s="58">
        <f t="shared" si="9"/>
        <v>-202</v>
      </c>
      <c r="AV589" s="58"/>
    </row>
    <row r="590" spans="1:48" ht="13.5" customHeight="1">
      <c r="A590" s="84">
        <v>588</v>
      </c>
      <c r="B590" s="55">
        <v>1955</v>
      </c>
      <c r="C590" s="55" t="s">
        <v>38</v>
      </c>
      <c r="D590" s="175">
        <v>131.5</v>
      </c>
      <c r="H590" s="56"/>
      <c r="I590" s="56">
        <v>200</v>
      </c>
      <c r="J590" s="148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>
        <v>68.5</v>
      </c>
      <c r="AD590" s="57"/>
      <c r="AE590" s="57"/>
      <c r="AF590" s="57"/>
      <c r="AG590" s="57"/>
      <c r="AH590" s="57"/>
      <c r="AI590" s="57"/>
      <c r="AJ590" s="57"/>
      <c r="AK590" s="57"/>
      <c r="AL590" s="57"/>
      <c r="AM590" s="57"/>
      <c r="AN590" s="57"/>
      <c r="AO590" s="57"/>
      <c r="AP590" s="57"/>
      <c r="AQ590" s="57"/>
      <c r="AR590" s="57"/>
      <c r="AS590" s="57"/>
      <c r="AT590" s="57"/>
      <c r="AU590" s="58">
        <f t="shared" si="9"/>
        <v>131.5</v>
      </c>
      <c r="AV590" s="58"/>
    </row>
    <row r="591" spans="1:48" ht="13.5" customHeight="1">
      <c r="A591" s="82">
        <v>589</v>
      </c>
      <c r="B591" s="55">
        <v>1958</v>
      </c>
      <c r="C591" s="55" t="s">
        <v>38</v>
      </c>
      <c r="D591" s="175">
        <v>27</v>
      </c>
      <c r="H591" s="56"/>
      <c r="I591" s="56">
        <v>128</v>
      </c>
      <c r="J591" s="148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>
        <v>70</v>
      </c>
      <c r="AE591" s="57"/>
      <c r="AF591" s="57"/>
      <c r="AG591" s="57"/>
      <c r="AH591" s="57"/>
      <c r="AI591" s="57"/>
      <c r="AJ591" s="57"/>
      <c r="AK591" s="57"/>
      <c r="AL591" s="57"/>
      <c r="AM591" s="57"/>
      <c r="AN591" s="57"/>
      <c r="AO591" s="57"/>
      <c r="AP591" s="57"/>
      <c r="AQ591" s="57"/>
      <c r="AR591" s="57"/>
      <c r="AS591" s="57">
        <v>31</v>
      </c>
      <c r="AT591" s="57"/>
      <c r="AU591" s="58">
        <f t="shared" si="9"/>
        <v>27</v>
      </c>
      <c r="AV591" s="58"/>
    </row>
    <row r="592" spans="1:48" ht="13.5" customHeight="1">
      <c r="A592" s="84">
        <v>590</v>
      </c>
      <c r="B592" s="55">
        <v>1964</v>
      </c>
      <c r="C592" s="55" t="s">
        <v>38</v>
      </c>
      <c r="D592" s="175">
        <v>445.9</v>
      </c>
      <c r="H592" s="56"/>
      <c r="I592" s="56">
        <v>882</v>
      </c>
      <c r="J592" s="148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57"/>
      <c r="AE592" s="57"/>
      <c r="AF592" s="57"/>
      <c r="AG592" s="57"/>
      <c r="AH592" s="57">
        <v>436.1</v>
      </c>
      <c r="AI592" s="57"/>
      <c r="AJ592" s="57"/>
      <c r="AK592" s="57"/>
      <c r="AL592" s="57"/>
      <c r="AM592" s="57"/>
      <c r="AN592" s="57"/>
      <c r="AO592" s="57"/>
      <c r="AP592" s="57"/>
      <c r="AQ592" s="57"/>
      <c r="AR592" s="57"/>
      <c r="AS592" s="57"/>
      <c r="AT592" s="57"/>
      <c r="AU592" s="58">
        <f t="shared" si="9"/>
        <v>445.9</v>
      </c>
      <c r="AV592" s="58"/>
    </row>
    <row r="593" spans="1:48" ht="13.5" customHeight="1">
      <c r="A593" s="84">
        <v>591</v>
      </c>
      <c r="B593" s="55">
        <v>1965</v>
      </c>
      <c r="C593" s="55" t="s">
        <v>38</v>
      </c>
      <c r="D593" s="175">
        <v>-106</v>
      </c>
      <c r="H593" s="56"/>
      <c r="I593" s="56">
        <v>128</v>
      </c>
      <c r="J593" s="148">
        <v>0</v>
      </c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57"/>
      <c r="AE593" s="57"/>
      <c r="AF593" s="57"/>
      <c r="AG593" s="57">
        <v>149</v>
      </c>
      <c r="AH593" s="57"/>
      <c r="AI593" s="57"/>
      <c r="AJ593" s="57"/>
      <c r="AK593" s="57"/>
      <c r="AL593" s="57"/>
      <c r="AM593" s="57"/>
      <c r="AN593" s="57"/>
      <c r="AO593" s="57">
        <v>85</v>
      </c>
      <c r="AP593" s="57"/>
      <c r="AQ593" s="57"/>
      <c r="AR593" s="57"/>
      <c r="AS593" s="57"/>
      <c r="AT593" s="57"/>
      <c r="AU593" s="58">
        <f t="shared" si="9"/>
        <v>-106</v>
      </c>
      <c r="AV593" s="58"/>
    </row>
    <row r="594" spans="1:48" ht="13.5" customHeight="1">
      <c r="A594" s="82">
        <v>592</v>
      </c>
      <c r="B594" s="55">
        <v>1981</v>
      </c>
      <c r="C594" s="55" t="s">
        <v>38</v>
      </c>
      <c r="D594" s="175">
        <v>-12</v>
      </c>
      <c r="H594" s="56"/>
      <c r="I594" s="56">
        <v>128</v>
      </c>
      <c r="J594" s="148">
        <v>0</v>
      </c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57"/>
      <c r="AE594" s="57"/>
      <c r="AF594" s="57">
        <v>140</v>
      </c>
      <c r="AG594" s="57"/>
      <c r="AH594" s="57"/>
      <c r="AI594" s="57"/>
      <c r="AJ594" s="57"/>
      <c r="AK594" s="57"/>
      <c r="AL594" s="57"/>
      <c r="AM594" s="57"/>
      <c r="AN594" s="57"/>
      <c r="AO594" s="57"/>
      <c r="AP594" s="57"/>
      <c r="AQ594" s="57"/>
      <c r="AR594" s="57"/>
      <c r="AS594" s="57"/>
      <c r="AT594" s="57"/>
      <c r="AU594" s="58">
        <f t="shared" si="9"/>
        <v>-12</v>
      </c>
      <c r="AV594" s="58"/>
    </row>
    <row r="595" spans="1:48" ht="13.5" customHeight="1">
      <c r="A595" s="84">
        <v>593</v>
      </c>
      <c r="B595" s="55">
        <v>1984</v>
      </c>
      <c r="C595" s="55" t="s">
        <v>38</v>
      </c>
      <c r="D595" s="175">
        <v>-85</v>
      </c>
      <c r="H595" s="56"/>
      <c r="I595" s="56">
        <v>128</v>
      </c>
      <c r="J595" s="148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  <c r="AD595" s="57"/>
      <c r="AE595" s="57"/>
      <c r="AF595" s="57">
        <v>148</v>
      </c>
      <c r="AG595" s="57"/>
      <c r="AH595" s="57"/>
      <c r="AI595" s="57"/>
      <c r="AJ595" s="57"/>
      <c r="AK595" s="57"/>
      <c r="AL595" s="57"/>
      <c r="AM595" s="57"/>
      <c r="AN595" s="57">
        <v>65</v>
      </c>
      <c r="AO595" s="57"/>
      <c r="AP595" s="57"/>
      <c r="AQ595" s="57"/>
      <c r="AR595" s="57"/>
      <c r="AS595" s="57"/>
      <c r="AT595" s="57"/>
      <c r="AU595" s="58">
        <f t="shared" si="9"/>
        <v>-85</v>
      </c>
      <c r="AV595" s="58"/>
    </row>
    <row r="596" spans="1:48" ht="13.5" customHeight="1">
      <c r="A596" s="82">
        <v>594</v>
      </c>
      <c r="B596" s="55">
        <v>1985</v>
      </c>
      <c r="C596" s="55" t="s">
        <v>38</v>
      </c>
      <c r="D596" s="175">
        <v>20.399999999999999</v>
      </c>
      <c r="H596" s="56"/>
      <c r="I596" s="56">
        <v>50.4</v>
      </c>
      <c r="J596" s="148">
        <v>0</v>
      </c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57"/>
      <c r="AE596" s="57"/>
      <c r="AF596" s="57"/>
      <c r="AG596" s="57">
        <v>30</v>
      </c>
      <c r="AH596" s="57"/>
      <c r="AI596" s="57"/>
      <c r="AJ596" s="57"/>
      <c r="AK596" s="57"/>
      <c r="AL596" s="57"/>
      <c r="AM596" s="57"/>
      <c r="AN596" s="57"/>
      <c r="AO596" s="57"/>
      <c r="AP596" s="57"/>
      <c r="AQ596" s="57"/>
      <c r="AR596" s="57"/>
      <c r="AS596" s="57"/>
      <c r="AT596" s="57"/>
      <c r="AU596" s="58">
        <f t="shared" si="9"/>
        <v>20.399999999999999</v>
      </c>
      <c r="AV596" s="58"/>
    </row>
    <row r="597" spans="1:48" ht="13.5" customHeight="1">
      <c r="A597" s="84">
        <v>595</v>
      </c>
      <c r="B597" s="55">
        <v>1992</v>
      </c>
      <c r="C597" s="55" t="s">
        <v>38</v>
      </c>
      <c r="D597" s="175">
        <v>-252</v>
      </c>
      <c r="H597" s="56"/>
      <c r="I597" s="56">
        <v>128</v>
      </c>
      <c r="J597" s="148">
        <v>0</v>
      </c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57"/>
      <c r="AE597" s="57"/>
      <c r="AF597" s="57"/>
      <c r="AG597" s="57">
        <v>100</v>
      </c>
      <c r="AH597" s="57">
        <v>100</v>
      </c>
      <c r="AI597" s="57"/>
      <c r="AJ597" s="57">
        <v>150</v>
      </c>
      <c r="AK597" s="57"/>
      <c r="AL597" s="57"/>
      <c r="AM597" s="57"/>
      <c r="AN597" s="57"/>
      <c r="AO597" s="57">
        <v>30</v>
      </c>
      <c r="AP597" s="57"/>
      <c r="AQ597" s="57"/>
      <c r="AR597" s="57"/>
      <c r="AS597" s="57"/>
      <c r="AT597" s="57"/>
      <c r="AU597" s="58">
        <f t="shared" si="9"/>
        <v>-252</v>
      </c>
      <c r="AV597" s="58"/>
    </row>
    <row r="598" spans="1:48" ht="13.5" customHeight="1">
      <c r="A598" s="84">
        <v>596</v>
      </c>
      <c r="B598" s="55">
        <v>2005</v>
      </c>
      <c r="C598" s="55" t="s">
        <v>38</v>
      </c>
      <c r="D598" s="175">
        <v>-32</v>
      </c>
      <c r="H598" s="56"/>
      <c r="I598" s="56">
        <v>128</v>
      </c>
      <c r="J598" s="148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  <c r="AD598" s="57"/>
      <c r="AE598" s="57"/>
      <c r="AF598" s="57"/>
      <c r="AG598" s="57"/>
      <c r="AH598" s="57">
        <v>100</v>
      </c>
      <c r="AI598" s="57"/>
      <c r="AJ598" s="57"/>
      <c r="AK598" s="57"/>
      <c r="AL598" s="57"/>
      <c r="AM598" s="57">
        <v>60</v>
      </c>
      <c r="AN598" s="57"/>
      <c r="AO598" s="57"/>
      <c r="AP598" s="57"/>
      <c r="AQ598" s="57"/>
      <c r="AR598" s="57"/>
      <c r="AS598" s="57"/>
      <c r="AT598" s="57"/>
      <c r="AU598" s="58">
        <f t="shared" si="9"/>
        <v>-32</v>
      </c>
      <c r="AV598" s="58"/>
    </row>
    <row r="599" spans="1:48" ht="13.5" customHeight="1">
      <c r="A599" s="82">
        <v>597</v>
      </c>
      <c r="B599" s="55">
        <v>2011</v>
      </c>
      <c r="C599" s="55" t="s">
        <v>38</v>
      </c>
      <c r="D599" s="175">
        <v>204</v>
      </c>
      <c r="H599" s="56"/>
      <c r="I599" s="56">
        <v>504</v>
      </c>
      <c r="J599" s="148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  <c r="AD599" s="57"/>
      <c r="AE599" s="57"/>
      <c r="AF599" s="57"/>
      <c r="AG599" s="57"/>
      <c r="AH599" s="57">
        <v>145</v>
      </c>
      <c r="AI599" s="57"/>
      <c r="AJ599" s="57"/>
      <c r="AK599" s="57">
        <v>155</v>
      </c>
      <c r="AL599" s="57"/>
      <c r="AM599" s="57"/>
      <c r="AN599" s="57"/>
      <c r="AO599" s="57"/>
      <c r="AP599" s="57"/>
      <c r="AQ599" s="57"/>
      <c r="AR599" s="57"/>
      <c r="AS599" s="57"/>
      <c r="AT599" s="57"/>
      <c r="AU599" s="58">
        <f t="shared" si="9"/>
        <v>204</v>
      </c>
      <c r="AV599" s="58"/>
    </row>
    <row r="600" spans="1:48" ht="13.5" customHeight="1">
      <c r="A600" s="84">
        <v>598</v>
      </c>
      <c r="B600" s="55">
        <v>2014</v>
      </c>
      <c r="C600" s="55" t="s">
        <v>38</v>
      </c>
      <c r="D600" s="175">
        <v>-191.69999999999993</v>
      </c>
      <c r="H600" s="56"/>
      <c r="I600" s="56">
        <v>1400</v>
      </c>
      <c r="J600" s="148">
        <v>0</v>
      </c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  <c r="AD600" s="57"/>
      <c r="AE600" s="57"/>
      <c r="AF600" s="57"/>
      <c r="AG600" s="57"/>
      <c r="AH600" s="57"/>
      <c r="AI600" s="57">
        <v>608.4</v>
      </c>
      <c r="AJ600" s="57"/>
      <c r="AK600" s="57"/>
      <c r="AL600" s="57"/>
      <c r="AM600" s="57"/>
      <c r="AN600" s="57"/>
      <c r="AO600" s="57"/>
      <c r="AP600" s="57">
        <v>983.3</v>
      </c>
      <c r="AQ600" s="57"/>
      <c r="AR600" s="57"/>
      <c r="AS600" s="57"/>
      <c r="AT600" s="57"/>
      <c r="AU600" s="58">
        <f t="shared" si="9"/>
        <v>-191.69999999999993</v>
      </c>
      <c r="AV600" s="58"/>
    </row>
    <row r="601" spans="1:48" ht="13.5" customHeight="1">
      <c r="A601" s="82">
        <v>599</v>
      </c>
      <c r="B601" s="55">
        <v>2019</v>
      </c>
      <c r="C601" s="55" t="s">
        <v>38</v>
      </c>
      <c r="D601" s="175">
        <v>-22</v>
      </c>
      <c r="H601" s="56"/>
      <c r="I601" s="56">
        <v>128</v>
      </c>
      <c r="J601" s="148">
        <v>0</v>
      </c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57"/>
      <c r="AE601" s="57"/>
      <c r="AF601" s="57"/>
      <c r="AG601" s="57"/>
      <c r="AH601" s="57"/>
      <c r="AI601" s="57">
        <v>150</v>
      </c>
      <c r="AJ601" s="57"/>
      <c r="AK601" s="57"/>
      <c r="AL601" s="57"/>
      <c r="AM601" s="57"/>
      <c r="AN601" s="57"/>
      <c r="AO601" s="57"/>
      <c r="AP601" s="57"/>
      <c r="AQ601" s="57"/>
      <c r="AR601" s="57"/>
      <c r="AS601" s="57"/>
      <c r="AT601" s="57"/>
      <c r="AU601" s="58">
        <f t="shared" si="9"/>
        <v>-22</v>
      </c>
      <c r="AV601" s="58"/>
    </row>
    <row r="602" spans="1:48" ht="13.5" customHeight="1">
      <c r="A602" s="84">
        <v>600</v>
      </c>
      <c r="B602" s="55">
        <v>2020</v>
      </c>
      <c r="C602" s="55" t="s">
        <v>38</v>
      </c>
      <c r="D602" s="175">
        <v>-152</v>
      </c>
      <c r="H602" s="56"/>
      <c r="I602" s="56">
        <v>128</v>
      </c>
      <c r="J602" s="148">
        <v>0</v>
      </c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  <c r="AD602" s="57"/>
      <c r="AE602" s="57"/>
      <c r="AF602" s="57"/>
      <c r="AG602" s="57"/>
      <c r="AH602" s="57"/>
      <c r="AI602" s="57">
        <v>150</v>
      </c>
      <c r="AJ602" s="57"/>
      <c r="AK602" s="57"/>
      <c r="AL602" s="57"/>
      <c r="AM602" s="57"/>
      <c r="AN602" s="57"/>
      <c r="AO602" s="57"/>
      <c r="AP602" s="57">
        <v>130</v>
      </c>
      <c r="AQ602" s="57"/>
      <c r="AR602" s="57"/>
      <c r="AS602" s="57"/>
      <c r="AT602" s="57"/>
      <c r="AU602" s="58">
        <f t="shared" si="9"/>
        <v>-152</v>
      </c>
      <c r="AV602" s="58"/>
    </row>
    <row r="603" spans="1:48" ht="13.5" customHeight="1">
      <c r="A603" s="84">
        <v>601</v>
      </c>
      <c r="B603" s="55">
        <v>2033</v>
      </c>
      <c r="C603" s="55" t="s">
        <v>38</v>
      </c>
      <c r="D603" s="175">
        <v>23</v>
      </c>
      <c r="H603" s="56"/>
      <c r="I603" s="56">
        <v>128</v>
      </c>
      <c r="J603" s="148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57"/>
      <c r="AE603" s="57"/>
      <c r="AF603" s="57"/>
      <c r="AG603" s="57"/>
      <c r="AH603" s="57"/>
      <c r="AI603" s="57"/>
      <c r="AJ603" s="57">
        <v>105</v>
      </c>
      <c r="AK603" s="57"/>
      <c r="AL603" s="57"/>
      <c r="AM603" s="57"/>
      <c r="AN603" s="57"/>
      <c r="AO603" s="57"/>
      <c r="AP603" s="57"/>
      <c r="AQ603" s="57"/>
      <c r="AR603" s="57"/>
      <c r="AS603" s="57"/>
      <c r="AT603" s="57"/>
      <c r="AU603" s="58">
        <f t="shared" si="9"/>
        <v>23</v>
      </c>
      <c r="AV603" s="58"/>
    </row>
    <row r="604" spans="1:48" ht="13.5" customHeight="1">
      <c r="A604" s="82">
        <v>602</v>
      </c>
      <c r="B604" s="55">
        <v>2036</v>
      </c>
      <c r="C604" s="55" t="s">
        <v>38</v>
      </c>
      <c r="D604" s="175">
        <v>28</v>
      </c>
      <c r="H604" s="56"/>
      <c r="I604" s="56">
        <v>128</v>
      </c>
      <c r="J604" s="148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  <c r="AD604" s="57"/>
      <c r="AE604" s="57"/>
      <c r="AF604" s="57"/>
      <c r="AG604" s="57"/>
      <c r="AH604" s="57"/>
      <c r="AI604" s="57"/>
      <c r="AJ604" s="57">
        <v>100</v>
      </c>
      <c r="AK604" s="57"/>
      <c r="AL604" s="57"/>
      <c r="AM604" s="57"/>
      <c r="AN604" s="57"/>
      <c r="AO604" s="57"/>
      <c r="AP604" s="57"/>
      <c r="AQ604" s="57"/>
      <c r="AR604" s="57"/>
      <c r="AS604" s="57"/>
      <c r="AT604" s="57"/>
      <c r="AU604" s="58">
        <f t="shared" si="9"/>
        <v>28</v>
      </c>
      <c r="AV604" s="58"/>
    </row>
    <row r="605" spans="1:48" ht="13.5" customHeight="1">
      <c r="A605" s="82">
        <v>603</v>
      </c>
      <c r="B605" s="235">
        <v>2040</v>
      </c>
      <c r="C605" s="235" t="s">
        <v>38</v>
      </c>
      <c r="D605" s="175">
        <v>-20</v>
      </c>
      <c r="H605" s="56"/>
      <c r="I605" s="207">
        <v>80</v>
      </c>
      <c r="J605" s="208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57"/>
      <c r="AE605" s="57"/>
      <c r="AF605" s="57"/>
      <c r="AG605" s="57"/>
      <c r="AH605" s="57"/>
      <c r="AI605" s="57"/>
      <c r="AJ605" s="57"/>
      <c r="AK605" s="57"/>
      <c r="AL605" s="57"/>
      <c r="AM605" s="57"/>
      <c r="AN605" s="57"/>
      <c r="AO605" s="57"/>
      <c r="AP605" s="57"/>
      <c r="AQ605" s="57"/>
      <c r="AR605" s="57"/>
      <c r="AS605" s="209">
        <v>100</v>
      </c>
      <c r="AT605" s="209"/>
      <c r="AU605" s="58">
        <f t="shared" si="9"/>
        <v>-20</v>
      </c>
      <c r="AV605" s="58"/>
    </row>
    <row r="606" spans="1:48" ht="13.5" customHeight="1">
      <c r="A606" s="84">
        <v>604</v>
      </c>
      <c r="B606" s="55">
        <v>2043</v>
      </c>
      <c r="C606" s="55" t="s">
        <v>38</v>
      </c>
      <c r="D606" s="175">
        <v>-110</v>
      </c>
      <c r="H606" s="56"/>
      <c r="I606" s="56">
        <v>200</v>
      </c>
      <c r="J606" s="148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57"/>
      <c r="AE606" s="57"/>
      <c r="AF606" s="57"/>
      <c r="AG606" s="57"/>
      <c r="AH606" s="57"/>
      <c r="AI606" s="57"/>
      <c r="AJ606" s="57"/>
      <c r="AK606" s="57">
        <v>185</v>
      </c>
      <c r="AL606" s="57"/>
      <c r="AM606" s="57"/>
      <c r="AN606" s="57"/>
      <c r="AO606" s="57"/>
      <c r="AP606" s="57"/>
      <c r="AQ606" s="57"/>
      <c r="AR606" s="57"/>
      <c r="AS606" s="57"/>
      <c r="AT606" s="57">
        <v>125</v>
      </c>
      <c r="AU606" s="58">
        <f t="shared" si="9"/>
        <v>-110</v>
      </c>
      <c r="AV606" s="58"/>
    </row>
    <row r="607" spans="1:48" ht="13.5" customHeight="1">
      <c r="A607" s="82">
        <v>605</v>
      </c>
      <c r="B607" s="55">
        <v>2045</v>
      </c>
      <c r="C607" s="55" t="s">
        <v>38</v>
      </c>
      <c r="D607" s="175">
        <v>-22</v>
      </c>
      <c r="H607" s="56"/>
      <c r="I607" s="56">
        <v>128</v>
      </c>
      <c r="J607" s="148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  <c r="AD607" s="57"/>
      <c r="AE607" s="57"/>
      <c r="AF607" s="57"/>
      <c r="AG607" s="57"/>
      <c r="AH607" s="57"/>
      <c r="AI607" s="57"/>
      <c r="AJ607" s="57"/>
      <c r="AK607" s="57"/>
      <c r="AL607" s="57"/>
      <c r="AM607" s="57">
        <v>150</v>
      </c>
      <c r="AN607" s="57"/>
      <c r="AO607" s="57"/>
      <c r="AP607" s="57"/>
      <c r="AQ607" s="57"/>
      <c r="AR607" s="57"/>
      <c r="AS607" s="57"/>
      <c r="AT607" s="57"/>
      <c r="AU607" s="58">
        <f t="shared" si="9"/>
        <v>-22</v>
      </c>
      <c r="AV607" s="58"/>
    </row>
    <row r="608" spans="1:48" ht="13.5" customHeight="1">
      <c r="A608" s="84">
        <v>606</v>
      </c>
      <c r="B608" s="55">
        <v>2049</v>
      </c>
      <c r="C608" s="55" t="s">
        <v>38</v>
      </c>
      <c r="D608" s="175">
        <v>170</v>
      </c>
      <c r="H608" s="56"/>
      <c r="I608" s="56">
        <v>320</v>
      </c>
      <c r="J608" s="148">
        <v>0</v>
      </c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57"/>
      <c r="AE608" s="57"/>
      <c r="AF608" s="57"/>
      <c r="AG608" s="57"/>
      <c r="AH608" s="57"/>
      <c r="AI608" s="57"/>
      <c r="AJ608" s="57"/>
      <c r="AK608" s="57">
        <v>150</v>
      </c>
      <c r="AL608" s="57"/>
      <c r="AM608" s="57"/>
      <c r="AN608" s="57"/>
      <c r="AO608" s="57"/>
      <c r="AP608" s="57"/>
      <c r="AQ608" s="57"/>
      <c r="AR608" s="57"/>
      <c r="AS608" s="57"/>
      <c r="AT608" s="57"/>
      <c r="AU608" s="58">
        <f t="shared" si="9"/>
        <v>170</v>
      </c>
      <c r="AV608" s="58"/>
    </row>
    <row r="609" spans="1:48" ht="13.5" customHeight="1">
      <c r="A609" s="84">
        <v>607</v>
      </c>
      <c r="B609" s="55">
        <v>2050</v>
      </c>
      <c r="C609" s="55" t="s">
        <v>38</v>
      </c>
      <c r="D609" s="175">
        <v>-10</v>
      </c>
      <c r="H609" s="56"/>
      <c r="I609" s="56">
        <v>200</v>
      </c>
      <c r="J609" s="148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57"/>
      <c r="AE609" s="57"/>
      <c r="AF609" s="57"/>
      <c r="AG609" s="57"/>
      <c r="AH609" s="57"/>
      <c r="AI609" s="57"/>
      <c r="AJ609" s="57"/>
      <c r="AK609" s="57">
        <v>60</v>
      </c>
      <c r="AL609" s="57"/>
      <c r="AM609" s="57">
        <v>150</v>
      </c>
      <c r="AN609" s="57"/>
      <c r="AO609" s="57"/>
      <c r="AP609" s="57"/>
      <c r="AQ609" s="57"/>
      <c r="AR609" s="57"/>
      <c r="AS609" s="57"/>
      <c r="AT609" s="57"/>
      <c r="AU609" s="58">
        <f t="shared" si="9"/>
        <v>-10</v>
      </c>
      <c r="AV609" s="58"/>
    </row>
    <row r="610" spans="1:48" ht="13.5" customHeight="1">
      <c r="A610" s="82">
        <v>608</v>
      </c>
      <c r="B610" s="55">
        <v>2063</v>
      </c>
      <c r="C610" s="55" t="s">
        <v>38</v>
      </c>
      <c r="D610" s="175">
        <v>33</v>
      </c>
      <c r="H610" s="56"/>
      <c r="I610" s="56">
        <v>200</v>
      </c>
      <c r="J610" s="148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57"/>
      <c r="AE610" s="57"/>
      <c r="AF610" s="57"/>
      <c r="AG610" s="57"/>
      <c r="AH610" s="57"/>
      <c r="AI610" s="57"/>
      <c r="AJ610" s="57"/>
      <c r="AK610" s="57">
        <v>150</v>
      </c>
      <c r="AL610" s="57"/>
      <c r="AM610" s="57"/>
      <c r="AN610" s="57"/>
      <c r="AO610" s="57"/>
      <c r="AP610" s="57">
        <v>17</v>
      </c>
      <c r="AQ610" s="57"/>
      <c r="AR610" s="57"/>
      <c r="AS610" s="57"/>
      <c r="AT610" s="57"/>
      <c r="AU610" s="58">
        <f t="shared" si="9"/>
        <v>33</v>
      </c>
      <c r="AV610" s="58"/>
    </row>
    <row r="611" spans="1:48" ht="13.5" customHeight="1">
      <c r="A611" s="84">
        <v>609</v>
      </c>
      <c r="B611" s="55">
        <v>2079</v>
      </c>
      <c r="C611" s="55" t="s">
        <v>38</v>
      </c>
      <c r="D611" s="175">
        <v>-22</v>
      </c>
      <c r="H611" s="56"/>
      <c r="I611" s="56">
        <v>128</v>
      </c>
      <c r="J611" s="148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  <c r="AA611" s="57"/>
      <c r="AB611" s="57"/>
      <c r="AC611" s="57"/>
      <c r="AD611" s="57"/>
      <c r="AE611" s="57"/>
      <c r="AF611" s="57"/>
      <c r="AG611" s="57"/>
      <c r="AH611" s="57"/>
      <c r="AI611" s="57"/>
      <c r="AJ611" s="57"/>
      <c r="AK611" s="57"/>
      <c r="AL611" s="57"/>
      <c r="AM611" s="57">
        <v>150</v>
      </c>
      <c r="AN611" s="57"/>
      <c r="AO611" s="57"/>
      <c r="AP611" s="57"/>
      <c r="AQ611" s="57"/>
      <c r="AR611" s="57"/>
      <c r="AS611" s="57"/>
      <c r="AT611" s="57"/>
      <c r="AU611" s="58">
        <f t="shared" si="9"/>
        <v>-22</v>
      </c>
      <c r="AV611" s="58"/>
    </row>
    <row r="612" spans="1:48" ht="13.5" customHeight="1">
      <c r="A612" s="82">
        <v>610</v>
      </c>
      <c r="B612" s="55">
        <v>2086</v>
      </c>
      <c r="C612" s="55" t="s">
        <v>38</v>
      </c>
      <c r="D612" s="175">
        <v>833.77</v>
      </c>
      <c r="H612" s="56"/>
      <c r="I612" s="56">
        <v>1260</v>
      </c>
      <c r="J612" s="148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  <c r="AA612" s="57"/>
      <c r="AB612" s="57"/>
      <c r="AC612" s="57"/>
      <c r="AD612" s="57"/>
      <c r="AE612" s="57"/>
      <c r="AF612" s="57"/>
      <c r="AG612" s="57"/>
      <c r="AH612" s="57"/>
      <c r="AI612" s="57"/>
      <c r="AJ612" s="57"/>
      <c r="AK612" s="57"/>
      <c r="AL612" s="57"/>
      <c r="AM612" s="57"/>
      <c r="AN612" s="57">
        <v>426.23</v>
      </c>
      <c r="AO612" s="57"/>
      <c r="AP612" s="57"/>
      <c r="AQ612" s="57"/>
      <c r="AR612" s="57"/>
      <c r="AS612" s="57"/>
      <c r="AT612" s="57"/>
      <c r="AU612" s="58">
        <f t="shared" si="9"/>
        <v>833.77</v>
      </c>
      <c r="AV612" s="58"/>
    </row>
    <row r="613" spans="1:48" ht="13.5" customHeight="1">
      <c r="A613" s="84">
        <v>611</v>
      </c>
      <c r="B613" s="55">
        <v>2091</v>
      </c>
      <c r="C613" s="55" t="s">
        <v>38</v>
      </c>
      <c r="D613" s="175">
        <v>160</v>
      </c>
      <c r="H613" s="56"/>
      <c r="I613" s="56">
        <v>200</v>
      </c>
      <c r="J613" s="148">
        <v>0</v>
      </c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  <c r="AA613" s="57"/>
      <c r="AB613" s="57"/>
      <c r="AC613" s="57"/>
      <c r="AD613" s="57"/>
      <c r="AE613" s="57"/>
      <c r="AF613" s="57"/>
      <c r="AG613" s="57"/>
      <c r="AH613" s="57"/>
      <c r="AI613" s="57"/>
      <c r="AJ613" s="57"/>
      <c r="AK613" s="57"/>
      <c r="AL613" s="57"/>
      <c r="AM613" s="57"/>
      <c r="AN613" s="57"/>
      <c r="AO613" s="57"/>
      <c r="AP613" s="57"/>
      <c r="AQ613" s="57">
        <v>40</v>
      </c>
      <c r="AR613" s="57"/>
      <c r="AS613" s="57"/>
      <c r="AT613" s="57"/>
      <c r="AU613" s="58">
        <f t="shared" si="9"/>
        <v>160</v>
      </c>
      <c r="AV613" s="58"/>
    </row>
    <row r="614" spans="1:48" ht="13.5" customHeight="1">
      <c r="A614" s="84">
        <v>612</v>
      </c>
      <c r="B614" s="55">
        <v>2110</v>
      </c>
      <c r="C614" s="55" t="s">
        <v>38</v>
      </c>
      <c r="D614" s="175">
        <v>407.65999999999997</v>
      </c>
      <c r="H614" s="56"/>
      <c r="I614" s="56">
        <v>1400</v>
      </c>
      <c r="J614" s="148">
        <v>0</v>
      </c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  <c r="AA614" s="57"/>
      <c r="AB614" s="57"/>
      <c r="AC614" s="57"/>
      <c r="AD614" s="57"/>
      <c r="AE614" s="57"/>
      <c r="AF614" s="57"/>
      <c r="AG614" s="57"/>
      <c r="AH614" s="57"/>
      <c r="AI614" s="57"/>
      <c r="AJ614" s="57"/>
      <c r="AK614" s="57"/>
      <c r="AL614" s="57"/>
      <c r="AM614" s="57"/>
      <c r="AN614" s="57"/>
      <c r="AO614" s="57"/>
      <c r="AP614" s="57"/>
      <c r="AQ614" s="57">
        <v>992.34</v>
      </c>
      <c r="AR614" s="57"/>
      <c r="AS614" s="57"/>
      <c r="AT614" s="57"/>
      <c r="AU614" s="58">
        <f t="shared" si="9"/>
        <v>407.65999999999997</v>
      </c>
      <c r="AV614" s="58"/>
    </row>
    <row r="615" spans="1:48" ht="13.5" customHeight="1">
      <c r="A615" s="82">
        <v>613</v>
      </c>
      <c r="B615" s="55">
        <v>2111</v>
      </c>
      <c r="C615" s="55" t="s">
        <v>38</v>
      </c>
      <c r="D615" s="175">
        <v>407.65999999999997</v>
      </c>
      <c r="H615" s="56"/>
      <c r="I615" s="56">
        <v>1400</v>
      </c>
      <c r="J615" s="148">
        <v>0</v>
      </c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  <c r="AA615" s="57"/>
      <c r="AB615" s="57"/>
      <c r="AC615" s="57"/>
      <c r="AD615" s="57"/>
      <c r="AE615" s="57"/>
      <c r="AF615" s="57"/>
      <c r="AG615" s="57"/>
      <c r="AH615" s="57"/>
      <c r="AI615" s="57"/>
      <c r="AJ615" s="57"/>
      <c r="AK615" s="57"/>
      <c r="AL615" s="57"/>
      <c r="AM615" s="57"/>
      <c r="AN615" s="57"/>
      <c r="AO615" s="57"/>
      <c r="AP615" s="57"/>
      <c r="AQ615" s="57">
        <v>992.34</v>
      </c>
      <c r="AR615" s="57"/>
      <c r="AS615" s="57"/>
      <c r="AT615" s="57"/>
      <c r="AU615" s="58">
        <f t="shared" si="9"/>
        <v>407.65999999999997</v>
      </c>
      <c r="AV615" s="58"/>
    </row>
    <row r="616" spans="1:48" ht="13.5" customHeight="1">
      <c r="A616" s="84">
        <v>614</v>
      </c>
      <c r="B616" s="55">
        <v>2112</v>
      </c>
      <c r="C616" s="55" t="s">
        <v>38</v>
      </c>
      <c r="D616" s="175">
        <v>28</v>
      </c>
      <c r="H616" s="56"/>
      <c r="I616" s="56">
        <v>128</v>
      </c>
      <c r="J616" s="148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  <c r="AA616" s="57"/>
      <c r="AB616" s="57"/>
      <c r="AC616" s="57"/>
      <c r="AD616" s="57"/>
      <c r="AE616" s="57"/>
      <c r="AF616" s="57"/>
      <c r="AG616" s="57"/>
      <c r="AH616" s="57"/>
      <c r="AI616" s="57"/>
      <c r="AJ616" s="57"/>
      <c r="AK616" s="57"/>
      <c r="AL616" s="57"/>
      <c r="AM616" s="57">
        <v>100</v>
      </c>
      <c r="AN616" s="57"/>
      <c r="AO616" s="57"/>
      <c r="AP616" s="57"/>
      <c r="AQ616" s="57"/>
      <c r="AR616" s="57"/>
      <c r="AS616" s="57"/>
      <c r="AT616" s="57"/>
      <c r="AU616" s="58">
        <f t="shared" si="9"/>
        <v>28</v>
      </c>
      <c r="AV616" s="58"/>
    </row>
    <row r="617" spans="1:48" ht="13.5" customHeight="1">
      <c r="A617" s="82">
        <v>615</v>
      </c>
      <c r="B617" s="55">
        <v>2116</v>
      </c>
      <c r="C617" s="55" t="s">
        <v>38</v>
      </c>
      <c r="D617" s="175">
        <v>42</v>
      </c>
      <c r="H617" s="56"/>
      <c r="I617" s="56">
        <v>128</v>
      </c>
      <c r="J617" s="148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  <c r="AA617" s="57"/>
      <c r="AB617" s="57"/>
      <c r="AC617" s="57"/>
      <c r="AD617" s="57"/>
      <c r="AE617" s="57"/>
      <c r="AF617" s="57"/>
      <c r="AG617" s="57"/>
      <c r="AH617" s="57"/>
      <c r="AI617" s="57"/>
      <c r="AJ617" s="57"/>
      <c r="AK617" s="57"/>
      <c r="AL617" s="57"/>
      <c r="AM617" s="57">
        <v>86</v>
      </c>
      <c r="AN617" s="57"/>
      <c r="AO617" s="57"/>
      <c r="AP617" s="57"/>
      <c r="AQ617" s="57"/>
      <c r="AR617" s="57"/>
      <c r="AS617" s="57"/>
      <c r="AT617" s="57"/>
      <c r="AU617" s="58">
        <f t="shared" si="9"/>
        <v>42</v>
      </c>
      <c r="AV617" s="58"/>
    </row>
    <row r="618" spans="1:48" ht="13.5" customHeight="1">
      <c r="A618" s="84">
        <v>616</v>
      </c>
      <c r="B618" s="55">
        <v>2128</v>
      </c>
      <c r="C618" s="55" t="s">
        <v>38</v>
      </c>
      <c r="D618" s="175">
        <v>644</v>
      </c>
      <c r="H618" s="56"/>
      <c r="I618" s="56">
        <v>1400</v>
      </c>
      <c r="J618" s="148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  <c r="AA618" s="57"/>
      <c r="AB618" s="57"/>
      <c r="AC618" s="57"/>
      <c r="AD618" s="57"/>
      <c r="AE618" s="57"/>
      <c r="AF618" s="57"/>
      <c r="AG618" s="57"/>
      <c r="AH618" s="57"/>
      <c r="AI618" s="57"/>
      <c r="AJ618" s="57"/>
      <c r="AK618" s="57"/>
      <c r="AL618" s="57"/>
      <c r="AM618" s="57"/>
      <c r="AN618" s="57"/>
      <c r="AO618" s="57">
        <v>756</v>
      </c>
      <c r="AP618" s="57"/>
      <c r="AQ618" s="57"/>
      <c r="AR618" s="57"/>
      <c r="AS618" s="57"/>
      <c r="AT618" s="57"/>
      <c r="AU618" s="58">
        <f t="shared" si="9"/>
        <v>644</v>
      </c>
      <c r="AV618" s="58"/>
    </row>
    <row r="619" spans="1:48" ht="13.5" customHeight="1">
      <c r="A619" s="84">
        <v>617</v>
      </c>
      <c r="B619" s="55">
        <v>2129</v>
      </c>
      <c r="C619" s="55" t="s">
        <v>38</v>
      </c>
      <c r="D619" s="175">
        <v>-162</v>
      </c>
      <c r="H619" s="56"/>
      <c r="I619" s="56">
        <v>128</v>
      </c>
      <c r="J619" s="148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57"/>
      <c r="AE619" s="57"/>
      <c r="AF619" s="57"/>
      <c r="AG619" s="57"/>
      <c r="AH619" s="57"/>
      <c r="AI619" s="57"/>
      <c r="AJ619" s="57"/>
      <c r="AK619" s="57"/>
      <c r="AL619" s="57"/>
      <c r="AM619" s="57"/>
      <c r="AN619" s="57">
        <v>40</v>
      </c>
      <c r="AO619" s="57">
        <v>250</v>
      </c>
      <c r="AP619" s="57"/>
      <c r="AQ619" s="57"/>
      <c r="AR619" s="57"/>
      <c r="AS619" s="57"/>
      <c r="AT619" s="57"/>
      <c r="AU619" s="58">
        <f t="shared" si="9"/>
        <v>-162</v>
      </c>
      <c r="AV619" s="58"/>
    </row>
    <row r="620" spans="1:48" ht="13.5" customHeight="1">
      <c r="A620" s="82">
        <v>618</v>
      </c>
      <c r="B620" s="55">
        <v>2134</v>
      </c>
      <c r="C620" s="55" t="s">
        <v>38</v>
      </c>
      <c r="D620" s="175">
        <v>350</v>
      </c>
      <c r="H620" s="56"/>
      <c r="I620" s="56">
        <v>500</v>
      </c>
      <c r="J620" s="148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57"/>
      <c r="AE620" s="57"/>
      <c r="AF620" s="57"/>
      <c r="AG620" s="57"/>
      <c r="AH620" s="57"/>
      <c r="AI620" s="57"/>
      <c r="AJ620" s="57"/>
      <c r="AK620" s="57"/>
      <c r="AL620" s="57"/>
      <c r="AM620" s="57"/>
      <c r="AN620" s="57">
        <v>150</v>
      </c>
      <c r="AO620" s="57"/>
      <c r="AP620" s="57"/>
      <c r="AQ620" s="57"/>
      <c r="AR620" s="57"/>
      <c r="AS620" s="57"/>
      <c r="AT620" s="57"/>
      <c r="AU620" s="58">
        <f t="shared" si="9"/>
        <v>350</v>
      </c>
      <c r="AV620" s="58"/>
    </row>
    <row r="621" spans="1:48" ht="13.5" customHeight="1">
      <c r="A621" s="84">
        <v>619</v>
      </c>
      <c r="B621" s="55">
        <v>2136</v>
      </c>
      <c r="C621" s="55" t="s">
        <v>38</v>
      </c>
      <c r="D621" s="175">
        <v>-22</v>
      </c>
      <c r="H621" s="56"/>
      <c r="I621" s="56">
        <v>128</v>
      </c>
      <c r="J621" s="148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  <c r="AA621" s="57"/>
      <c r="AB621" s="57"/>
      <c r="AC621" s="57"/>
      <c r="AD621" s="57"/>
      <c r="AE621" s="57"/>
      <c r="AF621" s="57"/>
      <c r="AG621" s="57"/>
      <c r="AH621" s="57"/>
      <c r="AI621" s="57"/>
      <c r="AJ621" s="57"/>
      <c r="AK621" s="57"/>
      <c r="AL621" s="57"/>
      <c r="AM621" s="57"/>
      <c r="AN621" s="57">
        <v>150</v>
      </c>
      <c r="AO621" s="57"/>
      <c r="AP621" s="57"/>
      <c r="AQ621" s="57"/>
      <c r="AR621" s="57"/>
      <c r="AS621" s="57"/>
      <c r="AT621" s="57"/>
      <c r="AU621" s="58">
        <f t="shared" si="9"/>
        <v>-22</v>
      </c>
      <c r="AV621" s="58"/>
    </row>
    <row r="622" spans="1:48" ht="13.5" customHeight="1">
      <c r="A622" s="82">
        <v>620</v>
      </c>
      <c r="B622" s="55">
        <v>2139</v>
      </c>
      <c r="C622" s="55" t="s">
        <v>38</v>
      </c>
      <c r="D622" s="175">
        <v>-22</v>
      </c>
      <c r="H622" s="56"/>
      <c r="I622" s="56">
        <v>128</v>
      </c>
      <c r="J622" s="148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  <c r="AA622" s="57"/>
      <c r="AB622" s="57"/>
      <c r="AC622" s="57"/>
      <c r="AD622" s="57"/>
      <c r="AE622" s="57"/>
      <c r="AF622" s="57"/>
      <c r="AG622" s="57"/>
      <c r="AH622" s="57"/>
      <c r="AI622" s="57"/>
      <c r="AJ622" s="57"/>
      <c r="AK622" s="57"/>
      <c r="AL622" s="57"/>
      <c r="AM622" s="57"/>
      <c r="AN622" s="57"/>
      <c r="AO622" s="57">
        <v>150</v>
      </c>
      <c r="AP622" s="57"/>
      <c r="AQ622" s="57"/>
      <c r="AR622" s="57"/>
      <c r="AS622" s="57"/>
      <c r="AT622" s="57"/>
      <c r="AU622" s="58">
        <f t="shared" si="9"/>
        <v>-22</v>
      </c>
      <c r="AV622" s="58"/>
    </row>
    <row r="623" spans="1:48" ht="13.5" customHeight="1">
      <c r="A623" s="84">
        <v>621</v>
      </c>
      <c r="B623" s="55">
        <v>2147</v>
      </c>
      <c r="C623" s="55" t="s">
        <v>38</v>
      </c>
      <c r="D623" s="175">
        <v>302</v>
      </c>
      <c r="H623" s="56"/>
      <c r="I623" s="56">
        <v>882</v>
      </c>
      <c r="J623" s="148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  <c r="AA623" s="57"/>
      <c r="AB623" s="57"/>
      <c r="AC623" s="57"/>
      <c r="AD623" s="57"/>
      <c r="AE623" s="57"/>
      <c r="AF623" s="57"/>
      <c r="AG623" s="57"/>
      <c r="AH623" s="57"/>
      <c r="AI623" s="57"/>
      <c r="AJ623" s="57"/>
      <c r="AK623" s="57"/>
      <c r="AL623" s="57"/>
      <c r="AM623" s="57"/>
      <c r="AN623" s="57"/>
      <c r="AO623" s="57"/>
      <c r="AP623" s="57">
        <v>580</v>
      </c>
      <c r="AQ623" s="57"/>
      <c r="AR623" s="57"/>
      <c r="AS623" s="57"/>
      <c r="AT623" s="57"/>
      <c r="AU623" s="58">
        <f t="shared" si="9"/>
        <v>302</v>
      </c>
      <c r="AV623" s="58"/>
    </row>
    <row r="624" spans="1:48" ht="13.5" customHeight="1">
      <c r="A624" s="84">
        <v>622</v>
      </c>
      <c r="B624" s="55">
        <v>2154</v>
      </c>
      <c r="C624" s="55" t="s">
        <v>38</v>
      </c>
      <c r="D624" s="175">
        <v>650</v>
      </c>
      <c r="H624" s="56"/>
      <c r="I624" s="56">
        <v>800</v>
      </c>
      <c r="J624" s="148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  <c r="AA624" s="57"/>
      <c r="AB624" s="57"/>
      <c r="AC624" s="57"/>
      <c r="AD624" s="57"/>
      <c r="AE624" s="57"/>
      <c r="AF624" s="57"/>
      <c r="AG624" s="57"/>
      <c r="AH624" s="57"/>
      <c r="AI624" s="57"/>
      <c r="AJ624" s="57"/>
      <c r="AK624" s="57"/>
      <c r="AL624" s="57"/>
      <c r="AM624" s="57"/>
      <c r="AN624" s="57"/>
      <c r="AO624" s="57"/>
      <c r="AP624" s="57">
        <v>150</v>
      </c>
      <c r="AQ624" s="57"/>
      <c r="AR624" s="57"/>
      <c r="AS624" s="57"/>
      <c r="AT624" s="57"/>
      <c r="AU624" s="58">
        <f t="shared" si="9"/>
        <v>650</v>
      </c>
      <c r="AV624" s="58"/>
    </row>
    <row r="625" spans="1:48" ht="13.5" customHeight="1">
      <c r="A625" s="82">
        <v>623</v>
      </c>
      <c r="B625" s="55">
        <v>2162</v>
      </c>
      <c r="C625" s="55" t="s">
        <v>38</v>
      </c>
      <c r="D625" s="175">
        <v>-150</v>
      </c>
      <c r="H625" s="56"/>
      <c r="I625" s="56">
        <v>1750</v>
      </c>
      <c r="J625" s="148">
        <v>0</v>
      </c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57"/>
      <c r="AE625" s="57"/>
      <c r="AF625" s="57"/>
      <c r="AG625" s="57"/>
      <c r="AH625" s="57"/>
      <c r="AI625" s="57"/>
      <c r="AJ625" s="57"/>
      <c r="AK625" s="57"/>
      <c r="AL625" s="57"/>
      <c r="AM625" s="57"/>
      <c r="AN625" s="57"/>
      <c r="AO625" s="57"/>
      <c r="AP625" s="57"/>
      <c r="AQ625" s="57"/>
      <c r="AR625" s="57">
        <v>1900</v>
      </c>
      <c r="AS625" s="57"/>
      <c r="AT625" s="57"/>
      <c r="AU625" s="58">
        <f t="shared" si="9"/>
        <v>-150</v>
      </c>
      <c r="AV625" s="58"/>
    </row>
    <row r="626" spans="1:48" ht="13.5" customHeight="1">
      <c r="A626" s="84">
        <v>624</v>
      </c>
      <c r="B626" s="55">
        <v>2163</v>
      </c>
      <c r="C626" s="55" t="s">
        <v>38</v>
      </c>
      <c r="D626" s="175">
        <v>-150</v>
      </c>
      <c r="H626" s="56"/>
      <c r="I626" s="56">
        <v>1750</v>
      </c>
      <c r="J626" s="148">
        <v>0</v>
      </c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57"/>
      <c r="AE626" s="57"/>
      <c r="AF626" s="57"/>
      <c r="AG626" s="57"/>
      <c r="AH626" s="57"/>
      <c r="AI626" s="57"/>
      <c r="AJ626" s="57"/>
      <c r="AK626" s="57"/>
      <c r="AL626" s="57"/>
      <c r="AM626" s="57"/>
      <c r="AN626" s="57"/>
      <c r="AO626" s="57"/>
      <c r="AP626" s="57"/>
      <c r="AQ626" s="57"/>
      <c r="AR626" s="57">
        <v>1900</v>
      </c>
      <c r="AS626" s="57"/>
      <c r="AT626" s="57"/>
      <c r="AU626" s="58">
        <f t="shared" si="9"/>
        <v>-150</v>
      </c>
      <c r="AV626" s="58"/>
    </row>
    <row r="627" spans="1:48" ht="13.5" customHeight="1">
      <c r="A627" s="82">
        <v>625</v>
      </c>
      <c r="B627" s="55">
        <v>2167</v>
      </c>
      <c r="C627" s="55" t="s">
        <v>38</v>
      </c>
      <c r="D627" s="175">
        <v>193.9</v>
      </c>
      <c r="H627" s="56"/>
      <c r="I627" s="56">
        <v>350</v>
      </c>
      <c r="J627" s="148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57"/>
      <c r="AE627" s="57"/>
      <c r="AF627" s="57"/>
      <c r="AG627" s="57"/>
      <c r="AH627" s="57"/>
      <c r="AI627" s="57"/>
      <c r="AJ627" s="57"/>
      <c r="AK627" s="57"/>
      <c r="AL627" s="57"/>
      <c r="AM627" s="57"/>
      <c r="AN627" s="57"/>
      <c r="AO627" s="57"/>
      <c r="AP627" s="57">
        <v>156.1</v>
      </c>
      <c r="AQ627" s="57"/>
      <c r="AR627" s="57"/>
      <c r="AS627" s="57"/>
      <c r="AT627" s="57"/>
      <c r="AU627" s="58">
        <f t="shared" si="9"/>
        <v>193.9</v>
      </c>
      <c r="AV627" s="58"/>
    </row>
    <row r="628" spans="1:48" ht="13.5" customHeight="1">
      <c r="A628" s="84">
        <v>626</v>
      </c>
      <c r="B628" s="55">
        <v>2179</v>
      </c>
      <c r="C628" s="55" t="s">
        <v>38</v>
      </c>
      <c r="D628" s="175">
        <v>17.899999999999999</v>
      </c>
      <c r="H628" s="56"/>
      <c r="I628" s="56">
        <v>50.4</v>
      </c>
      <c r="J628" s="148">
        <v>0</v>
      </c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57"/>
      <c r="AE628" s="57"/>
      <c r="AF628" s="57"/>
      <c r="AG628" s="57"/>
      <c r="AH628" s="57"/>
      <c r="AI628" s="57"/>
      <c r="AJ628" s="57"/>
      <c r="AK628" s="57"/>
      <c r="AL628" s="57"/>
      <c r="AM628" s="57"/>
      <c r="AN628" s="57"/>
      <c r="AO628" s="57"/>
      <c r="AP628" s="57"/>
      <c r="AQ628" s="57">
        <v>32.5</v>
      </c>
      <c r="AR628" s="57"/>
      <c r="AS628" s="57"/>
      <c r="AT628" s="57"/>
      <c r="AU628" s="58">
        <f t="shared" si="9"/>
        <v>17.899999999999999</v>
      </c>
      <c r="AV628" s="58"/>
    </row>
    <row r="629" spans="1:48" ht="13.5" customHeight="1">
      <c r="A629" s="84">
        <v>627</v>
      </c>
      <c r="B629" s="55">
        <v>2189</v>
      </c>
      <c r="C629" s="55" t="s">
        <v>38</v>
      </c>
      <c r="D629" s="175">
        <v>244.51</v>
      </c>
      <c r="H629" s="56"/>
      <c r="I629" s="56">
        <v>560</v>
      </c>
      <c r="J629" s="148">
        <v>0</v>
      </c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57"/>
      <c r="AE629" s="57"/>
      <c r="AF629" s="57"/>
      <c r="AG629" s="57"/>
      <c r="AH629" s="57"/>
      <c r="AI629" s="57"/>
      <c r="AJ629" s="57"/>
      <c r="AK629" s="57"/>
      <c r="AL629" s="57"/>
      <c r="AM629" s="57"/>
      <c r="AN629" s="57"/>
      <c r="AO629" s="57"/>
      <c r="AP629" s="57"/>
      <c r="AQ629" s="57">
        <v>315.49</v>
      </c>
      <c r="AR629" s="57"/>
      <c r="AS629" s="57"/>
      <c r="AT629" s="57"/>
      <c r="AU629" s="58">
        <f t="shared" si="9"/>
        <v>244.51</v>
      </c>
      <c r="AV629" s="58"/>
    </row>
    <row r="630" spans="1:48" ht="13.5" customHeight="1">
      <c r="A630" s="82">
        <v>628</v>
      </c>
      <c r="B630" s="55">
        <v>2192</v>
      </c>
      <c r="C630" s="55" t="s">
        <v>38</v>
      </c>
      <c r="D630" s="175">
        <v>-22</v>
      </c>
      <c r="H630" s="56"/>
      <c r="I630" s="56">
        <v>128</v>
      </c>
      <c r="J630" s="148">
        <v>0</v>
      </c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57"/>
      <c r="AE630" s="57"/>
      <c r="AF630" s="57"/>
      <c r="AG630" s="57"/>
      <c r="AH630" s="57"/>
      <c r="AI630" s="57"/>
      <c r="AJ630" s="57"/>
      <c r="AK630" s="57"/>
      <c r="AL630" s="57"/>
      <c r="AM630" s="57"/>
      <c r="AN630" s="57"/>
      <c r="AO630" s="57"/>
      <c r="AP630" s="57"/>
      <c r="AQ630" s="57">
        <v>150</v>
      </c>
      <c r="AR630" s="57"/>
      <c r="AS630" s="57"/>
      <c r="AT630" s="57"/>
      <c r="AU630" s="58">
        <f t="shared" si="9"/>
        <v>-22</v>
      </c>
      <c r="AV630" s="58"/>
    </row>
    <row r="631" spans="1:48" ht="13.5" customHeight="1">
      <c r="A631" s="251">
        <v>629</v>
      </c>
      <c r="B631" s="224">
        <v>2194</v>
      </c>
      <c r="C631" s="224" t="s">
        <v>38</v>
      </c>
      <c r="D631" s="221">
        <v>703</v>
      </c>
      <c r="E631" s="167"/>
      <c r="F631" s="167"/>
      <c r="G631" s="167"/>
      <c r="H631" s="166"/>
      <c r="I631" s="166">
        <v>1400</v>
      </c>
      <c r="J631" s="222"/>
      <c r="K631" s="168"/>
      <c r="L631" s="168"/>
      <c r="M631" s="168"/>
      <c r="N631" s="168"/>
      <c r="O631" s="168"/>
      <c r="P631" s="168"/>
      <c r="Q631" s="168"/>
      <c r="R631" s="168"/>
      <c r="S631" s="168"/>
      <c r="T631" s="168"/>
      <c r="U631" s="168"/>
      <c r="V631" s="168"/>
      <c r="W631" s="168"/>
      <c r="X631" s="168"/>
      <c r="Y631" s="168"/>
      <c r="Z631" s="168"/>
      <c r="AA631" s="168"/>
      <c r="AB631" s="168"/>
      <c r="AC631" s="168"/>
      <c r="AD631" s="168"/>
      <c r="AE631" s="168"/>
      <c r="AF631" s="168"/>
      <c r="AG631" s="168"/>
      <c r="AH631" s="168"/>
      <c r="AI631" s="168"/>
      <c r="AJ631" s="168"/>
      <c r="AK631" s="168"/>
      <c r="AL631" s="168"/>
      <c r="AM631" s="168"/>
      <c r="AN631" s="168"/>
      <c r="AO631" s="168"/>
      <c r="AP631" s="168"/>
      <c r="AQ631" s="168"/>
      <c r="AR631" s="168"/>
      <c r="AS631" s="168"/>
      <c r="AT631" s="168">
        <v>697</v>
      </c>
      <c r="AU631" s="58">
        <f t="shared" si="9"/>
        <v>703</v>
      </c>
      <c r="AV631" s="58"/>
    </row>
    <row r="632" spans="1:48" ht="13.5" customHeight="1">
      <c r="A632" s="82">
        <v>630</v>
      </c>
      <c r="B632" s="235">
        <v>2202</v>
      </c>
      <c r="C632" s="235" t="s">
        <v>38</v>
      </c>
      <c r="D632" s="205">
        <v>187.39999999999998</v>
      </c>
      <c r="E632" s="206"/>
      <c r="F632" s="206"/>
      <c r="G632" s="206"/>
      <c r="H632" s="207"/>
      <c r="I632" s="207">
        <v>560</v>
      </c>
      <c r="J632" s="208"/>
      <c r="K632" s="209"/>
      <c r="L632" s="209"/>
      <c r="M632" s="209"/>
      <c r="N632" s="209"/>
      <c r="O632" s="209"/>
      <c r="P632" s="209"/>
      <c r="Q632" s="209"/>
      <c r="R632" s="209"/>
      <c r="S632" s="209"/>
      <c r="T632" s="209"/>
      <c r="U632" s="209"/>
      <c r="V632" s="209"/>
      <c r="W632" s="209"/>
      <c r="X632" s="209"/>
      <c r="Y632" s="209"/>
      <c r="Z632" s="209"/>
      <c r="AA632" s="209"/>
      <c r="AB632" s="209"/>
      <c r="AC632" s="209"/>
      <c r="AD632" s="209"/>
      <c r="AE632" s="209"/>
      <c r="AF632" s="209"/>
      <c r="AG632" s="209"/>
      <c r="AH632" s="209"/>
      <c r="AI632" s="209"/>
      <c r="AJ632" s="209"/>
      <c r="AK632" s="209"/>
      <c r="AL632" s="209"/>
      <c r="AM632" s="209"/>
      <c r="AN632" s="209"/>
      <c r="AO632" s="209"/>
      <c r="AP632" s="209"/>
      <c r="AQ632" s="209"/>
      <c r="AR632" s="209"/>
      <c r="AS632" s="209">
        <v>372.6</v>
      </c>
      <c r="AT632" s="209"/>
      <c r="AU632" s="58">
        <f t="shared" si="9"/>
        <v>187.39999999999998</v>
      </c>
      <c r="AV632" s="58"/>
    </row>
    <row r="633" spans="1:48" ht="13.5" customHeight="1">
      <c r="A633" s="84">
        <v>631</v>
      </c>
      <c r="B633" s="55">
        <v>2204</v>
      </c>
      <c r="C633" s="55" t="s">
        <v>38</v>
      </c>
      <c r="D633" s="175">
        <v>-22</v>
      </c>
      <c r="H633" s="56"/>
      <c r="I633" s="56">
        <v>128</v>
      </c>
      <c r="J633" s="148">
        <v>0</v>
      </c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  <c r="AD633" s="57"/>
      <c r="AE633" s="57"/>
      <c r="AF633" s="57"/>
      <c r="AG633" s="57"/>
      <c r="AH633" s="57"/>
      <c r="AI633" s="57"/>
      <c r="AJ633" s="57"/>
      <c r="AK633" s="57"/>
      <c r="AL633" s="57"/>
      <c r="AM633" s="57"/>
      <c r="AN633" s="57"/>
      <c r="AO633" s="57"/>
      <c r="AP633" s="57"/>
      <c r="AQ633" s="57"/>
      <c r="AR633" s="57">
        <v>150</v>
      </c>
      <c r="AS633" s="57"/>
      <c r="AT633" s="57"/>
      <c r="AU633" s="58">
        <f t="shared" si="9"/>
        <v>-22</v>
      </c>
      <c r="AV633" s="58"/>
    </row>
    <row r="634" spans="1:48" ht="13.5" customHeight="1">
      <c r="A634" s="82">
        <v>632</v>
      </c>
      <c r="B634" s="55">
        <v>2205</v>
      </c>
      <c r="C634" s="55" t="s">
        <v>38</v>
      </c>
      <c r="D634" s="175">
        <v>0.39999999999999858</v>
      </c>
      <c r="H634" s="56"/>
      <c r="I634" s="56">
        <v>50.4</v>
      </c>
      <c r="J634" s="148">
        <v>0</v>
      </c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  <c r="AD634" s="57"/>
      <c r="AE634" s="57"/>
      <c r="AF634" s="57"/>
      <c r="AG634" s="57"/>
      <c r="AH634" s="57"/>
      <c r="AI634" s="57"/>
      <c r="AJ634" s="57"/>
      <c r="AK634" s="57"/>
      <c r="AL634" s="57"/>
      <c r="AM634" s="57"/>
      <c r="AN634" s="57"/>
      <c r="AO634" s="57"/>
      <c r="AP634" s="57"/>
      <c r="AQ634" s="57"/>
      <c r="AR634" s="57">
        <v>50</v>
      </c>
      <c r="AS634" s="57"/>
      <c r="AT634" s="57"/>
      <c r="AU634" s="58">
        <f t="shared" si="9"/>
        <v>0.39999999999999858</v>
      </c>
      <c r="AV634" s="58"/>
    </row>
    <row r="635" spans="1:48" ht="13.5" customHeight="1">
      <c r="A635" s="84">
        <v>633</v>
      </c>
      <c r="B635" s="55">
        <v>2206</v>
      </c>
      <c r="C635" s="55" t="s">
        <v>38</v>
      </c>
      <c r="D635" s="175">
        <v>-22</v>
      </c>
      <c r="H635" s="56"/>
      <c r="I635" s="56">
        <v>128</v>
      </c>
      <c r="J635" s="148">
        <v>0</v>
      </c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  <c r="AD635" s="57"/>
      <c r="AE635" s="57"/>
      <c r="AF635" s="57"/>
      <c r="AG635" s="57"/>
      <c r="AH635" s="57"/>
      <c r="AI635" s="57"/>
      <c r="AJ635" s="57"/>
      <c r="AK635" s="57"/>
      <c r="AL635" s="57"/>
      <c r="AM635" s="57"/>
      <c r="AN635" s="57"/>
      <c r="AO635" s="57"/>
      <c r="AP635" s="57"/>
      <c r="AQ635" s="57"/>
      <c r="AR635" s="57">
        <v>150</v>
      </c>
      <c r="AS635" s="57"/>
      <c r="AT635" s="57"/>
      <c r="AU635" s="58">
        <f t="shared" si="9"/>
        <v>-22</v>
      </c>
      <c r="AV635" s="58"/>
    </row>
    <row r="636" spans="1:48" ht="13.5" customHeight="1">
      <c r="A636" s="84">
        <v>634</v>
      </c>
      <c r="B636" s="235">
        <v>2209</v>
      </c>
      <c r="C636" s="235" t="s">
        <v>38</v>
      </c>
      <c r="D636" s="205">
        <v>234.97000000000003</v>
      </c>
      <c r="E636" s="206"/>
      <c r="F636" s="206"/>
      <c r="G636" s="206"/>
      <c r="H636" s="207"/>
      <c r="I636" s="207">
        <v>1400</v>
      </c>
      <c r="J636" s="208"/>
      <c r="K636" s="209"/>
      <c r="L636" s="209"/>
      <c r="M636" s="209"/>
      <c r="N636" s="209"/>
      <c r="O636" s="209"/>
      <c r="P636" s="209"/>
      <c r="Q636" s="209"/>
      <c r="R636" s="209"/>
      <c r="S636" s="209"/>
      <c r="T636" s="209"/>
      <c r="U636" s="209"/>
      <c r="V636" s="209"/>
      <c r="W636" s="209"/>
      <c r="X636" s="209"/>
      <c r="Y636" s="209"/>
      <c r="Z636" s="209"/>
      <c r="AA636" s="209"/>
      <c r="AB636" s="209"/>
      <c r="AC636" s="209"/>
      <c r="AD636" s="209"/>
      <c r="AE636" s="209"/>
      <c r="AF636" s="209"/>
      <c r="AG636" s="209"/>
      <c r="AH636" s="209"/>
      <c r="AI636" s="209"/>
      <c r="AJ636" s="209"/>
      <c r="AK636" s="209"/>
      <c r="AL636" s="209"/>
      <c r="AM636" s="209"/>
      <c r="AN636" s="209"/>
      <c r="AO636" s="209"/>
      <c r="AP636" s="209"/>
      <c r="AQ636" s="209"/>
      <c r="AR636" s="209"/>
      <c r="AS636" s="209">
        <v>1165.03</v>
      </c>
      <c r="AT636" s="209"/>
      <c r="AU636" s="58">
        <f t="shared" si="9"/>
        <v>234.97000000000003</v>
      </c>
      <c r="AV636" s="58"/>
    </row>
    <row r="637" spans="1:48" ht="13.5" customHeight="1">
      <c r="A637" s="84">
        <v>635</v>
      </c>
      <c r="B637" s="235">
        <v>2210</v>
      </c>
      <c r="C637" s="235" t="s">
        <v>38</v>
      </c>
      <c r="D637" s="205">
        <v>234.97000000000003</v>
      </c>
      <c r="E637" s="206"/>
      <c r="F637" s="206"/>
      <c r="G637" s="206"/>
      <c r="H637" s="207"/>
      <c r="I637" s="207">
        <v>1400</v>
      </c>
      <c r="J637" s="208"/>
      <c r="K637" s="209"/>
      <c r="L637" s="209"/>
      <c r="M637" s="209"/>
      <c r="N637" s="209"/>
      <c r="O637" s="209"/>
      <c r="P637" s="209"/>
      <c r="Q637" s="209"/>
      <c r="R637" s="209"/>
      <c r="S637" s="209"/>
      <c r="T637" s="209"/>
      <c r="U637" s="209"/>
      <c r="V637" s="209"/>
      <c r="W637" s="209"/>
      <c r="X637" s="209"/>
      <c r="Y637" s="209"/>
      <c r="Z637" s="209"/>
      <c r="AA637" s="209"/>
      <c r="AB637" s="209"/>
      <c r="AC637" s="209"/>
      <c r="AD637" s="209"/>
      <c r="AE637" s="209"/>
      <c r="AF637" s="209"/>
      <c r="AG637" s="209"/>
      <c r="AH637" s="209"/>
      <c r="AI637" s="209"/>
      <c r="AJ637" s="209"/>
      <c r="AK637" s="209"/>
      <c r="AL637" s="209"/>
      <c r="AM637" s="209"/>
      <c r="AN637" s="209"/>
      <c r="AO637" s="209"/>
      <c r="AP637" s="209"/>
      <c r="AQ637" s="209"/>
      <c r="AR637" s="209"/>
      <c r="AS637" s="209">
        <v>1165.03</v>
      </c>
      <c r="AT637" s="209"/>
      <c r="AU637" s="58">
        <f t="shared" si="9"/>
        <v>234.97000000000003</v>
      </c>
      <c r="AV637" s="58"/>
    </row>
    <row r="638" spans="1:48" ht="13.5" customHeight="1">
      <c r="A638" s="84">
        <v>636</v>
      </c>
      <c r="B638" s="235">
        <v>2219</v>
      </c>
      <c r="C638" s="235" t="s">
        <v>38</v>
      </c>
      <c r="D638" s="205">
        <v>-150</v>
      </c>
      <c r="E638" s="206"/>
      <c r="F638" s="206"/>
      <c r="G638" s="206"/>
      <c r="H638" s="207"/>
      <c r="I638" s="207">
        <v>1750</v>
      </c>
      <c r="J638" s="208"/>
      <c r="K638" s="209"/>
      <c r="L638" s="209"/>
      <c r="M638" s="209"/>
      <c r="N638" s="209"/>
      <c r="O638" s="209"/>
      <c r="P638" s="209"/>
      <c r="Q638" s="209"/>
      <c r="R638" s="209"/>
      <c r="S638" s="209"/>
      <c r="T638" s="209"/>
      <c r="U638" s="209"/>
      <c r="V638" s="209"/>
      <c r="W638" s="209"/>
      <c r="X638" s="209"/>
      <c r="Y638" s="209"/>
      <c r="Z638" s="209"/>
      <c r="AA638" s="209"/>
      <c r="AB638" s="209"/>
      <c r="AC638" s="209"/>
      <c r="AD638" s="209"/>
      <c r="AE638" s="209"/>
      <c r="AF638" s="209"/>
      <c r="AG638" s="209"/>
      <c r="AH638" s="209"/>
      <c r="AI638" s="209"/>
      <c r="AJ638" s="209"/>
      <c r="AK638" s="209"/>
      <c r="AL638" s="209"/>
      <c r="AM638" s="209"/>
      <c r="AN638" s="209"/>
      <c r="AO638" s="209"/>
      <c r="AP638" s="209"/>
      <c r="AQ638" s="209"/>
      <c r="AR638" s="209"/>
      <c r="AS638" s="209">
        <v>1900</v>
      </c>
      <c r="AT638" s="209"/>
      <c r="AU638" s="58">
        <f t="shared" si="9"/>
        <v>-150</v>
      </c>
      <c r="AV638" s="58"/>
    </row>
    <row r="639" spans="1:48" ht="13.5" customHeight="1">
      <c r="A639" s="84">
        <v>637</v>
      </c>
      <c r="B639" s="235">
        <v>2220</v>
      </c>
      <c r="C639" s="235" t="s">
        <v>38</v>
      </c>
      <c r="D639" s="205">
        <v>-150</v>
      </c>
      <c r="E639" s="206"/>
      <c r="F639" s="206"/>
      <c r="G639" s="206"/>
      <c r="H639" s="207"/>
      <c r="I639" s="207">
        <v>1750</v>
      </c>
      <c r="J639" s="208"/>
      <c r="K639" s="209"/>
      <c r="L639" s="209"/>
      <c r="M639" s="209"/>
      <c r="N639" s="209"/>
      <c r="O639" s="209"/>
      <c r="P639" s="209"/>
      <c r="Q639" s="209"/>
      <c r="R639" s="209"/>
      <c r="S639" s="209"/>
      <c r="T639" s="209"/>
      <c r="U639" s="209"/>
      <c r="V639" s="209"/>
      <c r="W639" s="209"/>
      <c r="X639" s="209"/>
      <c r="Y639" s="209"/>
      <c r="Z639" s="209"/>
      <c r="AA639" s="209"/>
      <c r="AB639" s="209"/>
      <c r="AC639" s="209"/>
      <c r="AD639" s="209"/>
      <c r="AE639" s="209"/>
      <c r="AF639" s="209"/>
      <c r="AG639" s="209"/>
      <c r="AH639" s="209"/>
      <c r="AI639" s="209"/>
      <c r="AJ639" s="209"/>
      <c r="AK639" s="209"/>
      <c r="AL639" s="209"/>
      <c r="AM639" s="209"/>
      <c r="AN639" s="209"/>
      <c r="AO639" s="209"/>
      <c r="AP639" s="209"/>
      <c r="AQ639" s="209"/>
      <c r="AR639" s="209"/>
      <c r="AS639" s="209">
        <v>1900</v>
      </c>
      <c r="AT639" s="209"/>
      <c r="AU639" s="58">
        <f t="shared" si="9"/>
        <v>-150</v>
      </c>
      <c r="AV639" s="58"/>
    </row>
    <row r="640" spans="1:48" ht="13.5" customHeight="1">
      <c r="A640" s="84">
        <v>638</v>
      </c>
      <c r="B640" s="235">
        <v>2244</v>
      </c>
      <c r="C640" s="235" t="s">
        <v>38</v>
      </c>
      <c r="D640" s="205">
        <v>-22</v>
      </c>
      <c r="E640" s="206"/>
      <c r="F640" s="206"/>
      <c r="G640" s="206"/>
      <c r="H640" s="207"/>
      <c r="I640" s="207">
        <v>128</v>
      </c>
      <c r="J640" s="208"/>
      <c r="K640" s="209"/>
      <c r="L640" s="209"/>
      <c r="M640" s="209"/>
      <c r="N640" s="209"/>
      <c r="O640" s="209"/>
      <c r="P640" s="209"/>
      <c r="Q640" s="209"/>
      <c r="R640" s="209"/>
      <c r="S640" s="209"/>
      <c r="T640" s="209"/>
      <c r="U640" s="209"/>
      <c r="V640" s="209"/>
      <c r="W640" s="209"/>
      <c r="X640" s="209"/>
      <c r="Y640" s="209"/>
      <c r="Z640" s="209"/>
      <c r="AA640" s="209"/>
      <c r="AB640" s="209"/>
      <c r="AC640" s="209"/>
      <c r="AD640" s="209"/>
      <c r="AE640" s="209"/>
      <c r="AF640" s="209"/>
      <c r="AG640" s="209"/>
      <c r="AH640" s="209"/>
      <c r="AI640" s="209"/>
      <c r="AJ640" s="209"/>
      <c r="AK640" s="209"/>
      <c r="AL640" s="209"/>
      <c r="AM640" s="209"/>
      <c r="AN640" s="209"/>
      <c r="AO640" s="209"/>
      <c r="AP640" s="209"/>
      <c r="AQ640" s="209"/>
      <c r="AR640" s="209"/>
      <c r="AS640" s="209">
        <v>150</v>
      </c>
      <c r="AT640" s="209"/>
      <c r="AU640" s="58">
        <f t="shared" si="9"/>
        <v>-22</v>
      </c>
      <c r="AV640" s="58"/>
    </row>
    <row r="641" spans="1:48" ht="13.5" customHeight="1">
      <c r="A641" s="252">
        <v>639</v>
      </c>
      <c r="B641" s="224">
        <v>2257</v>
      </c>
      <c r="C641" s="224" t="s">
        <v>38</v>
      </c>
      <c r="D641" s="221">
        <v>150</v>
      </c>
      <c r="E641" s="167"/>
      <c r="F641" s="167"/>
      <c r="G641" s="167"/>
      <c r="H641" s="166"/>
      <c r="I641" s="166">
        <v>1400</v>
      </c>
      <c r="J641" s="222"/>
      <c r="K641" s="168"/>
      <c r="L641" s="168"/>
      <c r="M641" s="168"/>
      <c r="N641" s="168"/>
      <c r="O641" s="168"/>
      <c r="P641" s="168"/>
      <c r="Q641" s="168"/>
      <c r="R641" s="168"/>
      <c r="S641" s="168"/>
      <c r="T641" s="168"/>
      <c r="U641" s="168"/>
      <c r="V641" s="168"/>
      <c r="W641" s="168"/>
      <c r="X641" s="168"/>
      <c r="Y641" s="168"/>
      <c r="Z641" s="168"/>
      <c r="AA641" s="168"/>
      <c r="AB641" s="168"/>
      <c r="AC641" s="168"/>
      <c r="AD641" s="168"/>
      <c r="AE641" s="168"/>
      <c r="AF641" s="168"/>
      <c r="AG641" s="168"/>
      <c r="AH641" s="168"/>
      <c r="AI641" s="168"/>
      <c r="AJ641" s="168"/>
      <c r="AK641" s="168"/>
      <c r="AL641" s="168"/>
      <c r="AM641" s="168"/>
      <c r="AN641" s="168"/>
      <c r="AO641" s="168"/>
      <c r="AP641" s="168"/>
      <c r="AQ641" s="168"/>
      <c r="AR641" s="168"/>
      <c r="AS641" s="168"/>
      <c r="AT641" s="168">
        <v>1250</v>
      </c>
      <c r="AU641" s="58">
        <f t="shared" si="9"/>
        <v>150</v>
      </c>
      <c r="AV641" s="58"/>
    </row>
    <row r="642" spans="1:48" ht="13.5" customHeight="1">
      <c r="A642" s="84">
        <v>640</v>
      </c>
      <c r="B642" s="235">
        <v>2258</v>
      </c>
      <c r="C642" s="235" t="s">
        <v>38</v>
      </c>
      <c r="D642" s="205">
        <v>-22</v>
      </c>
      <c r="E642" s="206"/>
      <c r="F642" s="206"/>
      <c r="G642" s="206"/>
      <c r="H642" s="207"/>
      <c r="I642" s="207">
        <v>128</v>
      </c>
      <c r="J642" s="208"/>
      <c r="K642" s="209"/>
      <c r="L642" s="209"/>
      <c r="M642" s="209"/>
      <c r="N642" s="209"/>
      <c r="O642" s="209"/>
      <c r="P642" s="209"/>
      <c r="Q642" s="209"/>
      <c r="R642" s="209"/>
      <c r="S642" s="209"/>
      <c r="T642" s="209"/>
      <c r="U642" s="209"/>
      <c r="V642" s="209"/>
      <c r="W642" s="209"/>
      <c r="X642" s="209"/>
      <c r="Y642" s="209"/>
      <c r="Z642" s="209"/>
      <c r="AA642" s="209"/>
      <c r="AB642" s="209"/>
      <c r="AC642" s="209"/>
      <c r="AD642" s="209"/>
      <c r="AE642" s="209"/>
      <c r="AF642" s="209"/>
      <c r="AG642" s="209"/>
      <c r="AH642" s="209"/>
      <c r="AI642" s="209"/>
      <c r="AJ642" s="209"/>
      <c r="AK642" s="209"/>
      <c r="AL642" s="209"/>
      <c r="AM642" s="209"/>
      <c r="AN642" s="209"/>
      <c r="AO642" s="209"/>
      <c r="AP642" s="209"/>
      <c r="AQ642" s="209"/>
      <c r="AR642" s="209"/>
      <c r="AS642" s="209">
        <v>150</v>
      </c>
      <c r="AT642" s="209"/>
      <c r="AU642" s="58">
        <f t="shared" si="9"/>
        <v>-22</v>
      </c>
      <c r="AV642" s="58"/>
    </row>
    <row r="643" spans="1:48" ht="13.5" customHeight="1">
      <c r="A643" s="252">
        <v>641</v>
      </c>
      <c r="B643" s="224">
        <v>2265</v>
      </c>
      <c r="C643" s="224" t="s">
        <v>38</v>
      </c>
      <c r="D643" s="221">
        <v>0</v>
      </c>
      <c r="E643" s="167"/>
      <c r="F643" s="167"/>
      <c r="G643" s="167"/>
      <c r="H643" s="166"/>
      <c r="I643" s="166">
        <v>80</v>
      </c>
      <c r="J643" s="222"/>
      <c r="K643" s="168"/>
      <c r="L643" s="168"/>
      <c r="M643" s="168"/>
      <c r="N643" s="168"/>
      <c r="O643" s="168"/>
      <c r="P643" s="168"/>
      <c r="Q643" s="168"/>
      <c r="R643" s="168"/>
      <c r="S643" s="168"/>
      <c r="T643" s="168"/>
      <c r="U643" s="168"/>
      <c r="V643" s="168"/>
      <c r="W643" s="168"/>
      <c r="X643" s="168"/>
      <c r="Y643" s="168"/>
      <c r="Z643" s="168"/>
      <c r="AA643" s="168"/>
      <c r="AB643" s="168"/>
      <c r="AC643" s="168"/>
      <c r="AD643" s="168"/>
      <c r="AE643" s="168"/>
      <c r="AF643" s="168"/>
      <c r="AG643" s="168"/>
      <c r="AH643" s="168"/>
      <c r="AI643" s="168"/>
      <c r="AJ643" s="168"/>
      <c r="AK643" s="168"/>
      <c r="AL643" s="168"/>
      <c r="AM643" s="168"/>
      <c r="AN643" s="168"/>
      <c r="AO643" s="168"/>
      <c r="AP643" s="168"/>
      <c r="AQ643" s="168"/>
      <c r="AR643" s="168"/>
      <c r="AS643" s="168"/>
      <c r="AT643" s="168">
        <v>80</v>
      </c>
      <c r="AU643" s="58">
        <f t="shared" si="9"/>
        <v>0</v>
      </c>
      <c r="AV643" s="58"/>
    </row>
    <row r="644" spans="1:48" ht="13.5" customHeight="1">
      <c r="A644" s="252">
        <v>642</v>
      </c>
      <c r="B644" s="224">
        <v>2287</v>
      </c>
      <c r="C644" s="224" t="s">
        <v>38</v>
      </c>
      <c r="D644" s="221">
        <v>15.399999999999999</v>
      </c>
      <c r="E644" s="167"/>
      <c r="F644" s="167"/>
      <c r="G644" s="167"/>
      <c r="H644" s="166"/>
      <c r="I644" s="166">
        <v>50.4</v>
      </c>
      <c r="J644" s="222">
        <v>0</v>
      </c>
      <c r="K644" s="168"/>
      <c r="L644" s="168"/>
      <c r="M644" s="168"/>
      <c r="N644" s="168"/>
      <c r="O644" s="168"/>
      <c r="P644" s="168"/>
      <c r="Q644" s="168"/>
      <c r="R644" s="168"/>
      <c r="S644" s="168"/>
      <c r="T644" s="168"/>
      <c r="U644" s="168"/>
      <c r="V644" s="168"/>
      <c r="W644" s="168"/>
      <c r="X644" s="168"/>
      <c r="Y644" s="168"/>
      <c r="Z644" s="168"/>
      <c r="AA644" s="168"/>
      <c r="AB644" s="168"/>
      <c r="AC644" s="168"/>
      <c r="AD644" s="168"/>
      <c r="AE644" s="168"/>
      <c r="AF644" s="168"/>
      <c r="AG644" s="168"/>
      <c r="AH644" s="168"/>
      <c r="AI644" s="168"/>
      <c r="AJ644" s="168"/>
      <c r="AK644" s="168"/>
      <c r="AL644" s="168"/>
      <c r="AM644" s="168"/>
      <c r="AN644" s="168"/>
      <c r="AO644" s="168"/>
      <c r="AP644" s="168"/>
      <c r="AQ644" s="168"/>
      <c r="AR644" s="168"/>
      <c r="AS644" s="168"/>
      <c r="AT644" s="168">
        <v>35</v>
      </c>
      <c r="AU644" s="58">
        <f t="shared" ref="AU644:AU707" si="10">I644-J644-K644-L644-M644-N644-O644-P644-Q644-R644-S644-T644-U644-V644-W644-X644-Y644-Z644-AA644-AB644-AC644-AD644-AE644-AF644-AG644-AH644-AI644-AJ644-AK644-AL644-AM644-AN644-AO644-AP644-AQ644-AR644-AS644-AT644</f>
        <v>15.399999999999999</v>
      </c>
      <c r="AV644" s="58"/>
    </row>
    <row r="645" spans="1:48">
      <c r="A645" s="84">
        <v>643</v>
      </c>
      <c r="B645" s="85">
        <v>31</v>
      </c>
      <c r="C645" s="85" t="s">
        <v>39</v>
      </c>
      <c r="D645" s="175">
        <v>123.96691749999997</v>
      </c>
      <c r="F645" s="45">
        <v>560</v>
      </c>
      <c r="G645" s="45">
        <v>225.90028500000003</v>
      </c>
      <c r="H645" s="56">
        <v>123.96691749999997</v>
      </c>
      <c r="I645" s="56">
        <v>123.96691749999997</v>
      </c>
      <c r="J645" s="148">
        <v>0</v>
      </c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57"/>
      <c r="AE645" s="57"/>
      <c r="AF645" s="57"/>
      <c r="AG645" s="57"/>
      <c r="AH645" s="57"/>
      <c r="AI645" s="57"/>
      <c r="AJ645" s="57"/>
      <c r="AK645" s="57"/>
      <c r="AL645" s="57"/>
      <c r="AM645" s="57"/>
      <c r="AN645" s="57"/>
      <c r="AO645" s="57"/>
      <c r="AP645" s="57"/>
      <c r="AQ645" s="57"/>
      <c r="AR645" s="57"/>
      <c r="AS645" s="57"/>
      <c r="AT645" s="57"/>
      <c r="AU645" s="58">
        <f t="shared" si="10"/>
        <v>123.96691749999997</v>
      </c>
      <c r="AV645" s="58"/>
    </row>
    <row r="646" spans="1:48" ht="13.5" customHeight="1">
      <c r="A646" s="82">
        <v>644</v>
      </c>
      <c r="B646" s="85">
        <v>58</v>
      </c>
      <c r="C646" s="85" t="s">
        <v>39</v>
      </c>
      <c r="D646" s="175">
        <v>-29.833519999999936</v>
      </c>
      <c r="F646" s="45">
        <v>882</v>
      </c>
      <c r="G646" s="45">
        <v>728.18999999999994</v>
      </c>
      <c r="H646" s="56">
        <v>215.16648000000006</v>
      </c>
      <c r="I646" s="56">
        <v>215.16648000000006</v>
      </c>
      <c r="J646" s="148">
        <v>0</v>
      </c>
      <c r="K646" s="57"/>
      <c r="L646" s="57"/>
      <c r="M646" s="57"/>
      <c r="N646" s="57"/>
      <c r="O646" s="57"/>
      <c r="P646" s="57"/>
      <c r="Q646" s="57"/>
      <c r="R646" s="57">
        <v>55</v>
      </c>
      <c r="S646" s="57"/>
      <c r="T646" s="57"/>
      <c r="U646" s="57"/>
      <c r="V646" s="57"/>
      <c r="W646" s="57"/>
      <c r="X646" s="57">
        <v>190</v>
      </c>
      <c r="Y646" s="57"/>
      <c r="Z646" s="57"/>
      <c r="AA646" s="57"/>
      <c r="AB646" s="57"/>
      <c r="AC646" s="57"/>
      <c r="AD646" s="57"/>
      <c r="AE646" s="57"/>
      <c r="AF646" s="57"/>
      <c r="AG646" s="57"/>
      <c r="AH646" s="57"/>
      <c r="AI646" s="57"/>
      <c r="AJ646" s="57"/>
      <c r="AK646" s="57"/>
      <c r="AL646" s="57"/>
      <c r="AM646" s="57"/>
      <c r="AN646" s="57"/>
      <c r="AO646" s="57"/>
      <c r="AP646" s="57"/>
      <c r="AQ646" s="57"/>
      <c r="AR646" s="57"/>
      <c r="AS646" s="57"/>
      <c r="AT646" s="57"/>
      <c r="AU646" s="58">
        <f t="shared" si="10"/>
        <v>-29.833519999999936</v>
      </c>
      <c r="AV646" s="58"/>
    </row>
    <row r="647" spans="1:48" ht="13.5" customHeight="1">
      <c r="A647" s="84">
        <v>645</v>
      </c>
      <c r="B647" s="85">
        <v>69</v>
      </c>
      <c r="C647" s="85" t="s">
        <v>39</v>
      </c>
      <c r="D647" s="175">
        <v>-64.321764999999999</v>
      </c>
      <c r="F647" s="45">
        <v>350</v>
      </c>
      <c r="G647" s="45">
        <v>87</v>
      </c>
      <c r="H647" s="56">
        <v>49.678235000000001</v>
      </c>
      <c r="I647" s="56">
        <v>49.678235000000001</v>
      </c>
      <c r="J647" s="148">
        <v>0</v>
      </c>
      <c r="K647" s="57"/>
      <c r="L647" s="57"/>
      <c r="M647" s="57"/>
      <c r="N647" s="57"/>
      <c r="O647" s="57"/>
      <c r="P647" s="57">
        <v>80</v>
      </c>
      <c r="Q647" s="57">
        <v>34</v>
      </c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57"/>
      <c r="AE647" s="57"/>
      <c r="AF647" s="57"/>
      <c r="AG647" s="57"/>
      <c r="AH647" s="57"/>
      <c r="AI647" s="57"/>
      <c r="AJ647" s="57"/>
      <c r="AK647" s="57"/>
      <c r="AL647" s="57"/>
      <c r="AM647" s="57"/>
      <c r="AN647" s="57"/>
      <c r="AO647" s="57"/>
      <c r="AP647" s="57"/>
      <c r="AQ647" s="57"/>
      <c r="AR647" s="57"/>
      <c r="AS647" s="57"/>
      <c r="AT647" s="57"/>
      <c r="AU647" s="58">
        <f t="shared" si="10"/>
        <v>-64.321764999999999</v>
      </c>
      <c r="AV647" s="58"/>
    </row>
    <row r="648" spans="1:48" ht="13.5" customHeight="1">
      <c r="A648" s="82">
        <v>646</v>
      </c>
      <c r="B648" s="85">
        <v>86</v>
      </c>
      <c r="C648" s="85" t="s">
        <v>39</v>
      </c>
      <c r="D648" s="175">
        <v>216.45000000000005</v>
      </c>
      <c r="F648" s="45">
        <v>560</v>
      </c>
      <c r="G648" s="45">
        <v>612.07159999999999</v>
      </c>
      <c r="H648" s="56">
        <v>216.45000000000005</v>
      </c>
      <c r="I648" s="56">
        <v>216.45000000000005</v>
      </c>
      <c r="J648" s="148">
        <v>0</v>
      </c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57"/>
      <c r="AE648" s="57"/>
      <c r="AF648" s="57"/>
      <c r="AG648" s="57"/>
      <c r="AH648" s="57"/>
      <c r="AI648" s="57"/>
      <c r="AJ648" s="57"/>
      <c r="AK648" s="57"/>
      <c r="AL648" s="57"/>
      <c r="AM648" s="57"/>
      <c r="AN648" s="57"/>
      <c r="AO648" s="57"/>
      <c r="AP648" s="57"/>
      <c r="AQ648" s="57"/>
      <c r="AR648" s="57"/>
      <c r="AS648" s="57"/>
      <c r="AT648" s="57"/>
      <c r="AU648" s="58">
        <f t="shared" si="10"/>
        <v>216.45000000000005</v>
      </c>
      <c r="AV648" s="58"/>
    </row>
    <row r="649" spans="1:48" ht="13.5" customHeight="1">
      <c r="A649" s="84">
        <v>647</v>
      </c>
      <c r="B649" s="85">
        <v>87</v>
      </c>
      <c r="C649" s="85" t="s">
        <v>39</v>
      </c>
      <c r="D649" s="175">
        <v>146.88783999999998</v>
      </c>
      <c r="F649" s="45">
        <v>882</v>
      </c>
      <c r="G649" s="45">
        <v>552.50872500000003</v>
      </c>
      <c r="H649" s="56">
        <v>239.88783999999998</v>
      </c>
      <c r="I649" s="56">
        <v>239.88783999999998</v>
      </c>
      <c r="J649" s="148">
        <v>0</v>
      </c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  <c r="AC649" s="57">
        <v>18</v>
      </c>
      <c r="AD649" s="57">
        <v>25</v>
      </c>
      <c r="AE649" s="57"/>
      <c r="AF649" s="57"/>
      <c r="AG649" s="57"/>
      <c r="AH649" s="57"/>
      <c r="AI649" s="57"/>
      <c r="AJ649" s="57"/>
      <c r="AK649" s="57"/>
      <c r="AL649" s="57"/>
      <c r="AM649" s="57"/>
      <c r="AN649" s="57">
        <v>50</v>
      </c>
      <c r="AO649" s="57"/>
      <c r="AP649" s="57"/>
      <c r="AQ649" s="57"/>
      <c r="AR649" s="57"/>
      <c r="AS649" s="57"/>
      <c r="AT649" s="57"/>
      <c r="AU649" s="58">
        <f t="shared" si="10"/>
        <v>146.88783999999998</v>
      </c>
      <c r="AV649" s="58"/>
    </row>
    <row r="650" spans="1:48" ht="13.5" customHeight="1">
      <c r="A650" s="84">
        <v>648</v>
      </c>
      <c r="B650" s="85">
        <v>93</v>
      </c>
      <c r="C650" s="85" t="s">
        <v>39</v>
      </c>
      <c r="D650" s="175">
        <v>28.688406250000014</v>
      </c>
      <c r="F650" s="45">
        <v>882</v>
      </c>
      <c r="G650" s="45">
        <v>905.06400000000019</v>
      </c>
      <c r="H650" s="56">
        <v>148.68840625000001</v>
      </c>
      <c r="I650" s="56">
        <v>148.68840625000001</v>
      </c>
      <c r="J650" s="148">
        <v>0</v>
      </c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>
        <v>90</v>
      </c>
      <c r="Y650" s="57"/>
      <c r="Z650" s="57"/>
      <c r="AA650" s="57"/>
      <c r="AB650" s="57"/>
      <c r="AC650" s="57"/>
      <c r="AD650" s="57"/>
      <c r="AE650" s="57"/>
      <c r="AF650" s="57"/>
      <c r="AG650" s="57"/>
      <c r="AH650" s="57"/>
      <c r="AI650" s="57"/>
      <c r="AJ650" s="57"/>
      <c r="AK650" s="57"/>
      <c r="AL650" s="57"/>
      <c r="AM650" s="57"/>
      <c r="AN650" s="57">
        <v>30</v>
      </c>
      <c r="AO650" s="57"/>
      <c r="AP650" s="57"/>
      <c r="AQ650" s="57"/>
      <c r="AR650" s="57"/>
      <c r="AS650" s="57"/>
      <c r="AT650" s="57"/>
      <c r="AU650" s="58">
        <f t="shared" si="10"/>
        <v>28.688406250000014</v>
      </c>
      <c r="AV650" s="58"/>
    </row>
    <row r="651" spans="1:48" ht="13.5" customHeight="1">
      <c r="A651" s="82">
        <v>649</v>
      </c>
      <c r="B651" s="85">
        <v>109</v>
      </c>
      <c r="C651" s="85" t="s">
        <v>39</v>
      </c>
      <c r="D651" s="175">
        <v>-234.00000000000006</v>
      </c>
      <c r="F651" s="45">
        <v>224</v>
      </c>
      <c r="G651" s="45">
        <v>298</v>
      </c>
      <c r="H651" s="56">
        <v>-150.20000000000005</v>
      </c>
      <c r="I651" s="56">
        <v>-150.20000000000005</v>
      </c>
      <c r="J651" s="148">
        <v>0</v>
      </c>
      <c r="K651" s="57"/>
      <c r="L651" s="57"/>
      <c r="M651" s="57"/>
      <c r="N651" s="57"/>
      <c r="O651" s="57"/>
      <c r="P651" s="57"/>
      <c r="Q651" s="57"/>
      <c r="R651" s="57">
        <v>66.8</v>
      </c>
      <c r="S651" s="57"/>
      <c r="T651" s="57"/>
      <c r="U651" s="57"/>
      <c r="V651" s="57"/>
      <c r="W651" s="57"/>
      <c r="X651" s="57"/>
      <c r="Y651" s="57">
        <v>17</v>
      </c>
      <c r="Z651" s="57"/>
      <c r="AA651" s="57"/>
      <c r="AB651" s="57"/>
      <c r="AC651" s="57"/>
      <c r="AD651" s="57"/>
      <c r="AE651" s="57"/>
      <c r="AF651" s="57"/>
      <c r="AG651" s="57"/>
      <c r="AH651" s="57"/>
      <c r="AI651" s="57"/>
      <c r="AJ651" s="57"/>
      <c r="AK651" s="57"/>
      <c r="AL651" s="57"/>
      <c r="AM651" s="57"/>
      <c r="AN651" s="57"/>
      <c r="AO651" s="57"/>
      <c r="AP651" s="57"/>
      <c r="AQ651" s="57"/>
      <c r="AR651" s="57"/>
      <c r="AS651" s="57"/>
      <c r="AT651" s="57"/>
      <c r="AU651" s="58">
        <f t="shared" si="10"/>
        <v>-234.00000000000006</v>
      </c>
      <c r="AV651" s="58"/>
    </row>
    <row r="652" spans="1:48" ht="13.5" customHeight="1">
      <c r="A652" s="84">
        <v>650</v>
      </c>
      <c r="B652" s="85">
        <v>133</v>
      </c>
      <c r="C652" s="85" t="s">
        <v>39</v>
      </c>
      <c r="D652" s="175">
        <v>-25.587880000000041</v>
      </c>
      <c r="F652" s="45">
        <v>560</v>
      </c>
      <c r="G652" s="45">
        <v>334.20049499999999</v>
      </c>
      <c r="H652" s="56">
        <v>132.41211999999996</v>
      </c>
      <c r="I652" s="56">
        <v>132.41211999999996</v>
      </c>
      <c r="J652" s="148">
        <v>0</v>
      </c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>
        <v>120</v>
      </c>
      <c r="AA652" s="57"/>
      <c r="AB652" s="57"/>
      <c r="AC652" s="57">
        <v>16</v>
      </c>
      <c r="AD652" s="57"/>
      <c r="AE652" s="57"/>
      <c r="AF652" s="57"/>
      <c r="AG652" s="57"/>
      <c r="AH652" s="57"/>
      <c r="AI652" s="57"/>
      <c r="AJ652" s="57"/>
      <c r="AK652" s="57"/>
      <c r="AL652" s="57"/>
      <c r="AM652" s="57"/>
      <c r="AN652" s="57"/>
      <c r="AO652" s="57"/>
      <c r="AP652" s="57"/>
      <c r="AQ652" s="57">
        <v>22</v>
      </c>
      <c r="AR652" s="57"/>
      <c r="AS652" s="57"/>
      <c r="AT652" s="57"/>
      <c r="AU652" s="58">
        <f t="shared" si="10"/>
        <v>-25.587880000000041</v>
      </c>
      <c r="AV652" s="58"/>
    </row>
    <row r="653" spans="1:48" ht="13.5" customHeight="1">
      <c r="A653" s="82">
        <v>651</v>
      </c>
      <c r="B653" s="85">
        <v>136</v>
      </c>
      <c r="C653" s="85" t="s">
        <v>39</v>
      </c>
      <c r="D653" s="175">
        <v>-82</v>
      </c>
      <c r="F653" s="45">
        <v>882</v>
      </c>
      <c r="G653" s="45">
        <v>501.16328250000004</v>
      </c>
      <c r="H653" s="56">
        <v>-62</v>
      </c>
      <c r="I653" s="56">
        <v>-62</v>
      </c>
      <c r="J653" s="148">
        <v>0</v>
      </c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  <c r="AA653" s="57"/>
      <c r="AB653" s="57"/>
      <c r="AC653" s="57"/>
      <c r="AD653" s="57"/>
      <c r="AE653" s="57"/>
      <c r="AF653" s="57"/>
      <c r="AG653" s="57">
        <v>20</v>
      </c>
      <c r="AH653" s="57"/>
      <c r="AI653" s="57"/>
      <c r="AJ653" s="57"/>
      <c r="AK653" s="57"/>
      <c r="AL653" s="57"/>
      <c r="AM653" s="57"/>
      <c r="AN653" s="57"/>
      <c r="AO653" s="57"/>
      <c r="AP653" s="57"/>
      <c r="AQ653" s="57"/>
      <c r="AR653" s="57"/>
      <c r="AS653" s="57"/>
      <c r="AT653" s="57"/>
      <c r="AU653" s="58">
        <f t="shared" si="10"/>
        <v>-82</v>
      </c>
      <c r="AV653" s="58"/>
    </row>
    <row r="654" spans="1:48" ht="13.5" customHeight="1">
      <c r="A654" s="84">
        <v>652</v>
      </c>
      <c r="B654" s="85">
        <v>137</v>
      </c>
      <c r="C654" s="85" t="s">
        <v>39</v>
      </c>
      <c r="D654" s="175">
        <v>-163.86019999999996</v>
      </c>
      <c r="F654" s="45">
        <v>882</v>
      </c>
      <c r="G654" s="45">
        <v>492.27209999999991</v>
      </c>
      <c r="H654" s="56">
        <v>-73.860199999999963</v>
      </c>
      <c r="I654" s="56">
        <v>-73.860199999999963</v>
      </c>
      <c r="J654" s="148">
        <v>0</v>
      </c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  <c r="AA654" s="57"/>
      <c r="AB654" s="57"/>
      <c r="AC654" s="57"/>
      <c r="AD654" s="57"/>
      <c r="AE654" s="57"/>
      <c r="AF654" s="57"/>
      <c r="AG654" s="57"/>
      <c r="AH654" s="57"/>
      <c r="AI654" s="57"/>
      <c r="AJ654" s="57">
        <v>90</v>
      </c>
      <c r="AK654" s="57"/>
      <c r="AL654" s="57"/>
      <c r="AM654" s="57"/>
      <c r="AN654" s="57"/>
      <c r="AO654" s="57"/>
      <c r="AP654" s="57"/>
      <c r="AQ654" s="57"/>
      <c r="AR654" s="57"/>
      <c r="AS654" s="57"/>
      <c r="AT654" s="57"/>
      <c r="AU654" s="58">
        <f t="shared" si="10"/>
        <v>-163.86019999999996</v>
      </c>
      <c r="AV654" s="58"/>
    </row>
    <row r="655" spans="1:48" ht="13.5" customHeight="1">
      <c r="A655" s="84">
        <v>653</v>
      </c>
      <c r="B655" s="85">
        <v>142</v>
      </c>
      <c r="C655" s="85" t="s">
        <v>39</v>
      </c>
      <c r="D655" s="175">
        <v>152.47300000000001</v>
      </c>
      <c r="F655" s="45">
        <v>560</v>
      </c>
      <c r="G655" s="45">
        <v>505.23314249999999</v>
      </c>
      <c r="H655" s="56">
        <v>152.47300000000001</v>
      </c>
      <c r="I655" s="56">
        <v>152.47300000000001</v>
      </c>
      <c r="J655" s="148">
        <v>0</v>
      </c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  <c r="AD655" s="57"/>
      <c r="AE655" s="57"/>
      <c r="AF655" s="57"/>
      <c r="AG655" s="57"/>
      <c r="AH655" s="57"/>
      <c r="AI655" s="57"/>
      <c r="AJ655" s="57"/>
      <c r="AK655" s="57"/>
      <c r="AL655" s="57"/>
      <c r="AM655" s="57"/>
      <c r="AN655" s="57"/>
      <c r="AO655" s="57"/>
      <c r="AP655" s="57"/>
      <c r="AQ655" s="57"/>
      <c r="AR655" s="57"/>
      <c r="AS655" s="57"/>
      <c r="AT655" s="57"/>
      <c r="AU655" s="58">
        <f t="shared" si="10"/>
        <v>152.47300000000001</v>
      </c>
      <c r="AV655" s="58"/>
    </row>
    <row r="656" spans="1:48" ht="13.5" customHeight="1">
      <c r="A656" s="82">
        <v>654</v>
      </c>
      <c r="B656" s="85">
        <v>143</v>
      </c>
      <c r="C656" s="85" t="s">
        <v>39</v>
      </c>
      <c r="D656" s="175">
        <v>180.084</v>
      </c>
      <c r="F656" s="45">
        <v>882</v>
      </c>
      <c r="G656" s="45">
        <v>876.77719124999999</v>
      </c>
      <c r="H656" s="56">
        <v>380.084</v>
      </c>
      <c r="I656" s="56">
        <v>380.084</v>
      </c>
      <c r="J656" s="148">
        <v>0</v>
      </c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  <c r="AA656" s="57"/>
      <c r="AB656" s="57"/>
      <c r="AC656" s="57"/>
      <c r="AD656" s="57"/>
      <c r="AE656" s="57"/>
      <c r="AF656" s="57"/>
      <c r="AG656" s="57"/>
      <c r="AH656" s="57"/>
      <c r="AI656" s="57"/>
      <c r="AJ656" s="57"/>
      <c r="AK656" s="57"/>
      <c r="AL656" s="57"/>
      <c r="AM656" s="57"/>
      <c r="AN656" s="57"/>
      <c r="AO656" s="57"/>
      <c r="AP656" s="57"/>
      <c r="AQ656" s="57"/>
      <c r="AR656" s="57"/>
      <c r="AS656" s="57">
        <v>150</v>
      </c>
      <c r="AT656" s="57">
        <v>50</v>
      </c>
      <c r="AU656" s="58">
        <f t="shared" si="10"/>
        <v>180.084</v>
      </c>
      <c r="AV656" s="58"/>
    </row>
    <row r="657" spans="1:48" ht="13.5" customHeight="1">
      <c r="A657" s="84">
        <v>655</v>
      </c>
      <c r="B657" s="85">
        <v>148</v>
      </c>
      <c r="C657" s="85" t="s">
        <v>39</v>
      </c>
      <c r="D657" s="175">
        <v>-192.80825499999997</v>
      </c>
      <c r="F657" s="45">
        <v>560</v>
      </c>
      <c r="G657" s="45">
        <v>439.49746499999998</v>
      </c>
      <c r="H657" s="56">
        <v>-32.808254999999974</v>
      </c>
      <c r="I657" s="56">
        <v>-32.808254999999974</v>
      </c>
      <c r="J657" s="148">
        <v>0</v>
      </c>
      <c r="K657" s="57"/>
      <c r="L657" s="57"/>
      <c r="M657" s="57">
        <v>75</v>
      </c>
      <c r="N657" s="57"/>
      <c r="O657" s="57"/>
      <c r="P657" s="57">
        <v>40</v>
      </c>
      <c r="Q657" s="57"/>
      <c r="R657" s="57"/>
      <c r="S657" s="57"/>
      <c r="T657" s="57"/>
      <c r="U657" s="57"/>
      <c r="V657" s="57"/>
      <c r="W657" s="57"/>
      <c r="X657" s="57"/>
      <c r="Y657" s="57"/>
      <c r="Z657" s="57"/>
      <c r="AA657" s="57"/>
      <c r="AB657" s="57"/>
      <c r="AC657" s="57"/>
      <c r="AD657" s="57"/>
      <c r="AE657" s="57"/>
      <c r="AF657" s="57"/>
      <c r="AG657" s="57"/>
      <c r="AH657" s="57"/>
      <c r="AI657" s="57"/>
      <c r="AJ657" s="57"/>
      <c r="AK657" s="57"/>
      <c r="AL657" s="57"/>
      <c r="AM657" s="57">
        <v>45</v>
      </c>
      <c r="AN657" s="57"/>
      <c r="AO657" s="57"/>
      <c r="AP657" s="57"/>
      <c r="AQ657" s="57"/>
      <c r="AR657" s="57"/>
      <c r="AS657" s="57"/>
      <c r="AT657" s="57"/>
      <c r="AU657" s="58">
        <f t="shared" si="10"/>
        <v>-192.80825499999997</v>
      </c>
      <c r="AV657" s="58"/>
    </row>
    <row r="658" spans="1:48" ht="13.5" customHeight="1">
      <c r="A658" s="82">
        <v>656</v>
      </c>
      <c r="B658" s="85">
        <v>169</v>
      </c>
      <c r="C658" s="85" t="s">
        <v>39</v>
      </c>
      <c r="D658" s="175">
        <v>34.36330000000001</v>
      </c>
      <c r="F658" s="45">
        <v>882</v>
      </c>
      <c r="G658" s="45">
        <v>730.63502625000001</v>
      </c>
      <c r="H658" s="56">
        <v>34.36330000000001</v>
      </c>
      <c r="I658" s="56">
        <v>34.36330000000001</v>
      </c>
      <c r="J658" s="148">
        <v>0</v>
      </c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  <c r="AA658" s="57"/>
      <c r="AB658" s="57"/>
      <c r="AC658" s="57"/>
      <c r="AD658" s="57"/>
      <c r="AE658" s="57"/>
      <c r="AF658" s="57"/>
      <c r="AG658" s="57"/>
      <c r="AH658" s="57"/>
      <c r="AI658" s="57"/>
      <c r="AJ658" s="57"/>
      <c r="AK658" s="57"/>
      <c r="AL658" s="57"/>
      <c r="AM658" s="57"/>
      <c r="AN658" s="57"/>
      <c r="AO658" s="57"/>
      <c r="AP658" s="57"/>
      <c r="AQ658" s="57"/>
      <c r="AR658" s="57"/>
      <c r="AS658" s="57"/>
      <c r="AT658" s="57"/>
      <c r="AU658" s="58">
        <f t="shared" si="10"/>
        <v>34.36330000000001</v>
      </c>
      <c r="AV658" s="58"/>
    </row>
    <row r="659" spans="1:48" ht="13.5" customHeight="1">
      <c r="A659" s="84">
        <v>657</v>
      </c>
      <c r="B659" s="85">
        <v>174</v>
      </c>
      <c r="C659" s="85" t="s">
        <v>39</v>
      </c>
      <c r="D659" s="175">
        <v>-295.52484249999998</v>
      </c>
      <c r="F659" s="45">
        <v>400</v>
      </c>
      <c r="G659" s="45">
        <v>197.316</v>
      </c>
      <c r="H659" s="56">
        <v>254.47515750000002</v>
      </c>
      <c r="I659" s="56">
        <v>254.47515750000002</v>
      </c>
      <c r="J659" s="148">
        <v>0</v>
      </c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>
        <v>250</v>
      </c>
      <c r="Y659" s="57"/>
      <c r="Z659" s="57"/>
      <c r="AA659" s="57"/>
      <c r="AB659" s="57"/>
      <c r="AC659" s="57">
        <v>300</v>
      </c>
      <c r="AD659" s="57"/>
      <c r="AE659" s="57"/>
      <c r="AF659" s="57"/>
      <c r="AG659" s="57"/>
      <c r="AH659" s="57"/>
      <c r="AI659" s="57"/>
      <c r="AJ659" s="57"/>
      <c r="AK659" s="57"/>
      <c r="AL659" s="57"/>
      <c r="AM659" s="57"/>
      <c r="AN659" s="57"/>
      <c r="AO659" s="57"/>
      <c r="AP659" s="57"/>
      <c r="AQ659" s="57"/>
      <c r="AR659" s="57"/>
      <c r="AS659" s="57"/>
      <c r="AT659" s="57"/>
      <c r="AU659" s="58">
        <f t="shared" si="10"/>
        <v>-295.52484249999998</v>
      </c>
      <c r="AV659" s="58"/>
    </row>
    <row r="660" spans="1:48" ht="13.5" customHeight="1">
      <c r="A660" s="84">
        <v>658</v>
      </c>
      <c r="B660" s="85">
        <v>188</v>
      </c>
      <c r="C660" s="85" t="s">
        <v>39</v>
      </c>
      <c r="D660" s="175">
        <v>91.802935000000048</v>
      </c>
      <c r="F660" s="45">
        <v>630</v>
      </c>
      <c r="G660" s="45">
        <v>261.34799999999996</v>
      </c>
      <c r="H660" s="56">
        <v>91.802935000000048</v>
      </c>
      <c r="I660" s="56">
        <v>91.802935000000048</v>
      </c>
      <c r="J660" s="148">
        <v>0</v>
      </c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  <c r="AC660" s="57"/>
      <c r="AD660" s="57"/>
      <c r="AE660" s="57"/>
      <c r="AF660" s="57"/>
      <c r="AG660" s="57"/>
      <c r="AH660" s="57"/>
      <c r="AI660" s="57"/>
      <c r="AJ660" s="57"/>
      <c r="AK660" s="57"/>
      <c r="AL660" s="57"/>
      <c r="AM660" s="57"/>
      <c r="AN660" s="57"/>
      <c r="AO660" s="57"/>
      <c r="AP660" s="57"/>
      <c r="AQ660" s="57"/>
      <c r="AR660" s="57"/>
      <c r="AS660" s="57"/>
      <c r="AT660" s="57"/>
      <c r="AU660" s="58">
        <f t="shared" si="10"/>
        <v>91.802935000000048</v>
      </c>
      <c r="AV660" s="58"/>
    </row>
    <row r="661" spans="1:48" ht="13.5" customHeight="1">
      <c r="A661" s="82">
        <v>659</v>
      </c>
      <c r="B661" s="85">
        <v>203</v>
      </c>
      <c r="C661" s="85" t="s">
        <v>39</v>
      </c>
      <c r="D661" s="175">
        <v>112.60000000000002</v>
      </c>
      <c r="F661" s="45">
        <v>882</v>
      </c>
      <c r="G661" s="45">
        <v>879.67092000000002</v>
      </c>
      <c r="H661" s="56">
        <v>112.60000000000002</v>
      </c>
      <c r="I661" s="56">
        <v>112.60000000000002</v>
      </c>
      <c r="J661" s="148">
        <v>0</v>
      </c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  <c r="AA661" s="57"/>
      <c r="AB661" s="57"/>
      <c r="AC661" s="57"/>
      <c r="AD661" s="57"/>
      <c r="AE661" s="57"/>
      <c r="AF661" s="57"/>
      <c r="AG661" s="57"/>
      <c r="AH661" s="57"/>
      <c r="AI661" s="57"/>
      <c r="AJ661" s="57"/>
      <c r="AK661" s="57"/>
      <c r="AL661" s="57"/>
      <c r="AM661" s="57"/>
      <c r="AN661" s="57"/>
      <c r="AO661" s="57"/>
      <c r="AP661" s="57"/>
      <c r="AQ661" s="57"/>
      <c r="AR661" s="57"/>
      <c r="AS661" s="57"/>
      <c r="AT661" s="57"/>
      <c r="AU661" s="58">
        <f t="shared" si="10"/>
        <v>112.60000000000002</v>
      </c>
      <c r="AV661" s="58"/>
    </row>
    <row r="662" spans="1:48" ht="13.5" customHeight="1">
      <c r="A662" s="84">
        <v>660</v>
      </c>
      <c r="B662" s="85">
        <v>211</v>
      </c>
      <c r="C662" s="85" t="s">
        <v>39</v>
      </c>
      <c r="D662" s="175">
        <v>12.069999999999993</v>
      </c>
      <c r="F662" s="45">
        <v>882</v>
      </c>
      <c r="G662" s="45">
        <v>831.161025</v>
      </c>
      <c r="H662" s="56">
        <v>114.07</v>
      </c>
      <c r="I662" s="56">
        <v>114.07</v>
      </c>
      <c r="J662" s="148">
        <v>0</v>
      </c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  <c r="AA662" s="57"/>
      <c r="AB662" s="57"/>
      <c r="AC662" s="57"/>
      <c r="AD662" s="57"/>
      <c r="AE662" s="57"/>
      <c r="AF662" s="57"/>
      <c r="AG662" s="57"/>
      <c r="AH662" s="57"/>
      <c r="AI662" s="57"/>
      <c r="AJ662" s="57"/>
      <c r="AK662" s="57">
        <f>72+30</f>
        <v>102</v>
      </c>
      <c r="AL662" s="57"/>
      <c r="AM662" s="57"/>
      <c r="AN662" s="57"/>
      <c r="AO662" s="57"/>
      <c r="AP662" s="57"/>
      <c r="AQ662" s="57"/>
      <c r="AR662" s="57"/>
      <c r="AS662" s="57"/>
      <c r="AT662" s="57"/>
      <c r="AU662" s="58">
        <f t="shared" si="10"/>
        <v>12.069999999999993</v>
      </c>
      <c r="AV662" s="58"/>
    </row>
    <row r="663" spans="1:48" ht="13.5" customHeight="1">
      <c r="A663" s="82">
        <v>661</v>
      </c>
      <c r="B663" s="85">
        <v>217</v>
      </c>
      <c r="C663" s="85" t="s">
        <v>39</v>
      </c>
      <c r="D663" s="175">
        <v>-60</v>
      </c>
      <c r="F663" s="45">
        <v>560</v>
      </c>
      <c r="G663" s="45">
        <v>594.89240000000007</v>
      </c>
      <c r="H663" s="56">
        <v>-60</v>
      </c>
      <c r="I663" s="56">
        <v>-60</v>
      </c>
      <c r="J663" s="148">
        <v>0</v>
      </c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  <c r="AD663" s="57"/>
      <c r="AE663" s="57"/>
      <c r="AF663" s="57"/>
      <c r="AG663" s="57"/>
      <c r="AH663" s="57"/>
      <c r="AI663" s="57"/>
      <c r="AJ663" s="57"/>
      <c r="AK663" s="57"/>
      <c r="AL663" s="57"/>
      <c r="AM663" s="57"/>
      <c r="AN663" s="57"/>
      <c r="AO663" s="57"/>
      <c r="AP663" s="57"/>
      <c r="AQ663" s="57"/>
      <c r="AR663" s="57"/>
      <c r="AS663" s="57"/>
      <c r="AT663" s="57"/>
      <c r="AU663" s="58">
        <f t="shared" si="10"/>
        <v>-60</v>
      </c>
      <c r="AV663" s="58"/>
    </row>
    <row r="664" spans="1:48" ht="13.5" customHeight="1">
      <c r="A664" s="84">
        <v>662</v>
      </c>
      <c r="B664" s="85">
        <v>218</v>
      </c>
      <c r="C664" s="85" t="s">
        <v>39</v>
      </c>
      <c r="D664" s="175">
        <v>56.890000000000015</v>
      </c>
      <c r="F664" s="45">
        <v>560</v>
      </c>
      <c r="G664" s="45">
        <v>519.60836999999992</v>
      </c>
      <c r="H664" s="56">
        <v>116.89000000000001</v>
      </c>
      <c r="I664" s="56">
        <v>116.89000000000001</v>
      </c>
      <c r="J664" s="148">
        <v>0</v>
      </c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  <c r="AA664" s="57"/>
      <c r="AB664" s="57"/>
      <c r="AC664" s="57"/>
      <c r="AD664" s="57"/>
      <c r="AE664" s="57"/>
      <c r="AF664" s="57"/>
      <c r="AG664" s="57"/>
      <c r="AH664" s="57"/>
      <c r="AI664" s="57"/>
      <c r="AJ664" s="57"/>
      <c r="AK664" s="57"/>
      <c r="AL664" s="57">
        <v>60</v>
      </c>
      <c r="AM664" s="57"/>
      <c r="AN664" s="57"/>
      <c r="AO664" s="57"/>
      <c r="AP664" s="57"/>
      <c r="AQ664" s="57"/>
      <c r="AR664" s="57"/>
      <c r="AS664" s="57"/>
      <c r="AT664" s="57"/>
      <c r="AU664" s="58">
        <f t="shared" si="10"/>
        <v>56.890000000000015</v>
      </c>
      <c r="AV664" s="58"/>
    </row>
    <row r="665" spans="1:48" ht="13.5" customHeight="1">
      <c r="A665" s="84">
        <v>663</v>
      </c>
      <c r="B665" s="85">
        <v>220</v>
      </c>
      <c r="C665" s="85" t="s">
        <v>39</v>
      </c>
      <c r="D665" s="175">
        <v>60.221600000000024</v>
      </c>
      <c r="F665" s="45">
        <v>560</v>
      </c>
      <c r="G665" s="45">
        <v>513.90356249999991</v>
      </c>
      <c r="H665" s="56">
        <v>95.221600000000024</v>
      </c>
      <c r="I665" s="56">
        <v>95.221600000000024</v>
      </c>
      <c r="J665" s="148">
        <v>0</v>
      </c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>
        <v>35</v>
      </c>
      <c r="AA665" s="57"/>
      <c r="AB665" s="57"/>
      <c r="AC665" s="57"/>
      <c r="AD665" s="57"/>
      <c r="AE665" s="57"/>
      <c r="AF665" s="57"/>
      <c r="AG665" s="57"/>
      <c r="AH665" s="57"/>
      <c r="AI665" s="57"/>
      <c r="AJ665" s="57"/>
      <c r="AK665" s="57"/>
      <c r="AL665" s="57"/>
      <c r="AM665" s="57"/>
      <c r="AN665" s="57"/>
      <c r="AO665" s="57"/>
      <c r="AP665" s="57"/>
      <c r="AQ665" s="57"/>
      <c r="AR665" s="57"/>
      <c r="AS665" s="57"/>
      <c r="AT665" s="57"/>
      <c r="AU665" s="58">
        <f t="shared" si="10"/>
        <v>60.221600000000024</v>
      </c>
      <c r="AV665" s="58"/>
    </row>
    <row r="666" spans="1:48" ht="13.5" customHeight="1">
      <c r="A666" s="82">
        <v>664</v>
      </c>
      <c r="B666" s="85">
        <v>222</v>
      </c>
      <c r="C666" s="85" t="s">
        <v>39</v>
      </c>
      <c r="D666" s="175">
        <v>184.56</v>
      </c>
      <c r="F666" s="45">
        <v>560</v>
      </c>
      <c r="G666" s="45">
        <v>386.37570000000005</v>
      </c>
      <c r="H666" s="56">
        <v>184.56</v>
      </c>
      <c r="I666" s="56">
        <v>184.56</v>
      </c>
      <c r="J666" s="148">
        <v>0</v>
      </c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  <c r="AA666" s="57"/>
      <c r="AB666" s="57"/>
      <c r="AC666" s="57"/>
      <c r="AD666" s="57"/>
      <c r="AE666" s="57"/>
      <c r="AF666" s="57"/>
      <c r="AG666" s="57"/>
      <c r="AH666" s="57"/>
      <c r="AI666" s="57"/>
      <c r="AJ666" s="57"/>
      <c r="AK666" s="57"/>
      <c r="AL666" s="57"/>
      <c r="AM666" s="57"/>
      <c r="AN666" s="57"/>
      <c r="AO666" s="57"/>
      <c r="AP666" s="57"/>
      <c r="AQ666" s="57"/>
      <c r="AR666" s="57"/>
      <c r="AS666" s="57"/>
      <c r="AT666" s="57"/>
      <c r="AU666" s="58">
        <f t="shared" si="10"/>
        <v>184.56</v>
      </c>
      <c r="AV666" s="58"/>
    </row>
    <row r="667" spans="1:48" ht="13.5" customHeight="1">
      <c r="A667" s="84">
        <v>665</v>
      </c>
      <c r="B667" s="85">
        <v>231</v>
      </c>
      <c r="C667" s="85" t="s">
        <v>39</v>
      </c>
      <c r="D667" s="175">
        <v>-252</v>
      </c>
      <c r="F667" s="45">
        <v>350</v>
      </c>
      <c r="G667" s="45">
        <v>195.82656</v>
      </c>
      <c r="H667" s="56">
        <v>-48</v>
      </c>
      <c r="I667" s="56">
        <v>-48</v>
      </c>
      <c r="J667" s="148">
        <v>0</v>
      </c>
      <c r="K667" s="57"/>
      <c r="L667" s="57"/>
      <c r="M667" s="57">
        <v>70</v>
      </c>
      <c r="N667" s="57"/>
      <c r="O667" s="57">
        <v>64</v>
      </c>
      <c r="P667" s="57"/>
      <c r="Q667" s="57"/>
      <c r="R667" s="57"/>
      <c r="S667" s="57"/>
      <c r="T667" s="57">
        <v>70</v>
      </c>
      <c r="U667" s="57"/>
      <c r="V667" s="57"/>
      <c r="W667" s="57"/>
      <c r="X667" s="57"/>
      <c r="Y667" s="57"/>
      <c r="Z667" s="57"/>
      <c r="AA667" s="57"/>
      <c r="AB667" s="57">
        <v>0</v>
      </c>
      <c r="AC667" s="57"/>
      <c r="AD667" s="57"/>
      <c r="AE667" s="57"/>
      <c r="AF667" s="57"/>
      <c r="AG667" s="57"/>
      <c r="AH667" s="57"/>
      <c r="AI667" s="57"/>
      <c r="AJ667" s="57"/>
      <c r="AK667" s="57"/>
      <c r="AL667" s="57"/>
      <c r="AM667" s="57"/>
      <c r="AN667" s="57"/>
      <c r="AO667" s="57"/>
      <c r="AP667" s="57"/>
      <c r="AQ667" s="57"/>
      <c r="AR667" s="57"/>
      <c r="AS667" s="57"/>
      <c r="AT667" s="57"/>
      <c r="AU667" s="58">
        <f t="shared" si="10"/>
        <v>-252</v>
      </c>
      <c r="AV667" s="58"/>
    </row>
    <row r="668" spans="1:48" ht="13.5" customHeight="1">
      <c r="A668" s="82">
        <v>666</v>
      </c>
      <c r="B668" s="85">
        <v>232</v>
      </c>
      <c r="C668" s="85" t="s">
        <v>39</v>
      </c>
      <c r="D668" s="175">
        <v>-34.475312000000059</v>
      </c>
      <c r="F668" s="45">
        <v>882</v>
      </c>
      <c r="G668" s="45">
        <v>849.95519999999999</v>
      </c>
      <c r="H668" s="56">
        <v>25.524687999999941</v>
      </c>
      <c r="I668" s="56">
        <v>25.524687999999941</v>
      </c>
      <c r="J668" s="148">
        <v>0</v>
      </c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>
        <v>60</v>
      </c>
      <c r="Y668" s="57"/>
      <c r="Z668" s="57"/>
      <c r="AA668" s="57"/>
      <c r="AB668" s="57"/>
      <c r="AC668" s="57"/>
      <c r="AD668" s="57"/>
      <c r="AE668" s="57"/>
      <c r="AF668" s="57"/>
      <c r="AG668" s="57"/>
      <c r="AH668" s="57"/>
      <c r="AI668" s="57"/>
      <c r="AJ668" s="57"/>
      <c r="AK668" s="57"/>
      <c r="AL668" s="57"/>
      <c r="AM668" s="57"/>
      <c r="AN668" s="57"/>
      <c r="AO668" s="57"/>
      <c r="AP668" s="57"/>
      <c r="AQ668" s="57"/>
      <c r="AR668" s="57"/>
      <c r="AS668" s="57"/>
      <c r="AT668" s="57"/>
      <c r="AU668" s="58">
        <f t="shared" si="10"/>
        <v>-34.475312000000059</v>
      </c>
      <c r="AV668" s="58"/>
    </row>
    <row r="669" spans="1:48" ht="13.5" customHeight="1">
      <c r="A669" s="84">
        <v>667</v>
      </c>
      <c r="B669" s="85">
        <v>237</v>
      </c>
      <c r="C669" s="85" t="s">
        <v>39</v>
      </c>
      <c r="D669" s="175">
        <v>162.25091750000001</v>
      </c>
      <c r="F669" s="45">
        <v>882</v>
      </c>
      <c r="G669" s="45">
        <v>586.24906499999997</v>
      </c>
      <c r="H669" s="56">
        <v>178.25091750000001</v>
      </c>
      <c r="I669" s="56">
        <v>178.25091750000001</v>
      </c>
      <c r="J669" s="148">
        <v>0</v>
      </c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  <c r="AA669" s="57"/>
      <c r="AB669" s="57"/>
      <c r="AC669" s="57"/>
      <c r="AD669" s="57"/>
      <c r="AE669" s="57"/>
      <c r="AF669" s="57"/>
      <c r="AG669" s="57"/>
      <c r="AH669" s="57"/>
      <c r="AI669" s="57"/>
      <c r="AJ669" s="57"/>
      <c r="AK669" s="57"/>
      <c r="AL669" s="57"/>
      <c r="AM669" s="57"/>
      <c r="AN669" s="57"/>
      <c r="AO669" s="57"/>
      <c r="AP669" s="57"/>
      <c r="AQ669" s="57"/>
      <c r="AR669" s="57"/>
      <c r="AS669" s="57">
        <v>16</v>
      </c>
      <c r="AT669" s="57"/>
      <c r="AU669" s="58">
        <f t="shared" si="10"/>
        <v>162.25091750000001</v>
      </c>
      <c r="AV669" s="58"/>
    </row>
    <row r="670" spans="1:48" ht="13.5" customHeight="1">
      <c r="A670" s="84">
        <v>668</v>
      </c>
      <c r="B670" s="85">
        <v>238</v>
      </c>
      <c r="C670" s="85" t="s">
        <v>39</v>
      </c>
      <c r="D670" s="175">
        <v>-350.13660000000004</v>
      </c>
      <c r="F670" s="45">
        <v>560</v>
      </c>
      <c r="G670" s="45">
        <v>53.9</v>
      </c>
      <c r="H670" s="56">
        <v>386.26339999999999</v>
      </c>
      <c r="I670" s="56">
        <v>386.26339999999999</v>
      </c>
      <c r="J670" s="148">
        <v>0</v>
      </c>
      <c r="K670" s="57"/>
      <c r="L670" s="57"/>
      <c r="M670" s="57"/>
      <c r="N670" s="57"/>
      <c r="O670" s="57"/>
      <c r="P670" s="57"/>
      <c r="Q670" s="57"/>
      <c r="R670" s="57">
        <v>268.60000000000002</v>
      </c>
      <c r="S670" s="57"/>
      <c r="T670" s="57"/>
      <c r="U670" s="57"/>
      <c r="V670" s="57"/>
      <c r="W670" s="57"/>
      <c r="X670" s="57"/>
      <c r="Y670" s="57"/>
      <c r="Z670" s="57"/>
      <c r="AA670" s="57"/>
      <c r="AB670" s="57"/>
      <c r="AC670" s="57"/>
      <c r="AD670" s="57"/>
      <c r="AE670" s="57">
        <v>127.8</v>
      </c>
      <c r="AF670" s="57"/>
      <c r="AG670" s="57"/>
      <c r="AH670" s="57"/>
      <c r="AI670" s="57"/>
      <c r="AJ670" s="57"/>
      <c r="AK670" s="57"/>
      <c r="AL670" s="57"/>
      <c r="AM670" s="57"/>
      <c r="AN670" s="57"/>
      <c r="AO670" s="57"/>
      <c r="AP670" s="57"/>
      <c r="AQ670" s="57"/>
      <c r="AR670" s="57"/>
      <c r="AS670" s="57">
        <v>190</v>
      </c>
      <c r="AT670" s="57">
        <v>150</v>
      </c>
      <c r="AU670" s="58">
        <f t="shared" si="10"/>
        <v>-350.13660000000004</v>
      </c>
      <c r="AV670" s="58"/>
    </row>
    <row r="671" spans="1:48" ht="13.5" customHeight="1">
      <c r="A671" s="82">
        <v>669</v>
      </c>
      <c r="B671" s="85">
        <v>240</v>
      </c>
      <c r="C671" s="85" t="s">
        <v>39</v>
      </c>
      <c r="D671" s="175">
        <v>33.72535000000002</v>
      </c>
      <c r="F671" s="45">
        <v>250</v>
      </c>
      <c r="G671" s="45">
        <v>198.67894200000001</v>
      </c>
      <c r="H671" s="56">
        <v>33.72535000000002</v>
      </c>
      <c r="I671" s="56">
        <v>33.72535000000002</v>
      </c>
      <c r="J671" s="148">
        <v>0</v>
      </c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  <c r="AD671" s="57"/>
      <c r="AE671" s="57"/>
      <c r="AF671" s="57"/>
      <c r="AG671" s="57"/>
      <c r="AH671" s="57"/>
      <c r="AI671" s="57"/>
      <c r="AJ671" s="57"/>
      <c r="AK671" s="57"/>
      <c r="AL671" s="57"/>
      <c r="AM671" s="57"/>
      <c r="AN671" s="57"/>
      <c r="AO671" s="57"/>
      <c r="AP671" s="57"/>
      <c r="AQ671" s="57"/>
      <c r="AR671" s="57"/>
      <c r="AS671" s="57"/>
      <c r="AT671" s="57"/>
      <c r="AU671" s="58">
        <f t="shared" si="10"/>
        <v>33.72535000000002</v>
      </c>
      <c r="AV671" s="58"/>
    </row>
    <row r="672" spans="1:48" ht="13.5" customHeight="1">
      <c r="A672" s="84">
        <v>670</v>
      </c>
      <c r="B672" s="85">
        <v>243</v>
      </c>
      <c r="C672" s="85" t="s">
        <v>39</v>
      </c>
      <c r="D672" s="175">
        <v>-413.19</v>
      </c>
      <c r="F672" s="45">
        <v>560</v>
      </c>
      <c r="G672" s="45">
        <v>551.00579999999991</v>
      </c>
      <c r="H672" s="56">
        <v>46.81</v>
      </c>
      <c r="I672" s="56">
        <v>46.81</v>
      </c>
      <c r="J672" s="148">
        <v>0</v>
      </c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>
        <v>200</v>
      </c>
      <c r="V672" s="57"/>
      <c r="W672" s="57"/>
      <c r="X672" s="57"/>
      <c r="Y672" s="57"/>
      <c r="Z672" s="57">
        <v>20</v>
      </c>
      <c r="AA672" s="57"/>
      <c r="AB672" s="57">
        <v>100</v>
      </c>
      <c r="AC672" s="57">
        <v>20</v>
      </c>
      <c r="AD672" s="57"/>
      <c r="AE672" s="57"/>
      <c r="AF672" s="57"/>
      <c r="AG672" s="57"/>
      <c r="AH672" s="57"/>
      <c r="AI672" s="57"/>
      <c r="AJ672" s="57"/>
      <c r="AK672" s="57"/>
      <c r="AL672" s="57"/>
      <c r="AM672" s="57"/>
      <c r="AN672" s="57"/>
      <c r="AO672" s="57"/>
      <c r="AP672" s="57"/>
      <c r="AQ672" s="57"/>
      <c r="AR672" s="57"/>
      <c r="AS672" s="57"/>
      <c r="AT672" s="57">
        <v>120</v>
      </c>
      <c r="AU672" s="58">
        <f t="shared" si="10"/>
        <v>-413.19</v>
      </c>
      <c r="AV672" s="58"/>
    </row>
    <row r="673" spans="1:48" ht="13.5" customHeight="1">
      <c r="A673" s="82">
        <v>671</v>
      </c>
      <c r="B673" s="85">
        <v>262</v>
      </c>
      <c r="C673" s="85" t="s">
        <v>39</v>
      </c>
      <c r="D673" s="175">
        <v>-283.06240000000003</v>
      </c>
      <c r="F673" s="45">
        <v>560</v>
      </c>
      <c r="G673" s="45">
        <v>599.38824</v>
      </c>
      <c r="H673" s="56">
        <v>-183.06240000000003</v>
      </c>
      <c r="I673" s="56">
        <v>-183.06240000000003</v>
      </c>
      <c r="J673" s="148">
        <v>0</v>
      </c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57"/>
      <c r="AE673" s="57">
        <v>100</v>
      </c>
      <c r="AF673" s="57"/>
      <c r="AG673" s="57"/>
      <c r="AH673" s="57"/>
      <c r="AI673" s="57"/>
      <c r="AJ673" s="57"/>
      <c r="AK673" s="57"/>
      <c r="AL673" s="57"/>
      <c r="AM673" s="57"/>
      <c r="AN673" s="57"/>
      <c r="AO673" s="57"/>
      <c r="AP673" s="57"/>
      <c r="AQ673" s="57"/>
      <c r="AR673" s="57"/>
      <c r="AS673" s="57"/>
      <c r="AT673" s="57"/>
      <c r="AU673" s="58">
        <f t="shared" si="10"/>
        <v>-283.06240000000003</v>
      </c>
      <c r="AV673" s="58"/>
    </row>
    <row r="674" spans="1:48" ht="13.5" customHeight="1">
      <c r="A674" s="84">
        <v>672</v>
      </c>
      <c r="B674" s="85">
        <v>263</v>
      </c>
      <c r="C674" s="85" t="s">
        <v>39</v>
      </c>
      <c r="D674" s="175">
        <v>-107.73290000000003</v>
      </c>
      <c r="F674" s="45">
        <v>882</v>
      </c>
      <c r="G674" s="45">
        <v>967.74824999999987</v>
      </c>
      <c r="H674" s="56">
        <v>178.26709999999997</v>
      </c>
      <c r="I674" s="56">
        <v>178.26709999999997</v>
      </c>
      <c r="J674" s="148">
        <v>0</v>
      </c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>
        <v>50</v>
      </c>
      <c r="Y674" s="57"/>
      <c r="Z674" s="57"/>
      <c r="AA674" s="57"/>
      <c r="AB674" s="57"/>
      <c r="AC674" s="57"/>
      <c r="AD674" s="57">
        <v>16</v>
      </c>
      <c r="AE674" s="57"/>
      <c r="AF674" s="57"/>
      <c r="AG674" s="57">
        <v>80</v>
      </c>
      <c r="AH674" s="57">
        <v>60</v>
      </c>
      <c r="AI674" s="57"/>
      <c r="AJ674" s="57"/>
      <c r="AK674" s="57"/>
      <c r="AL674" s="57"/>
      <c r="AM674" s="57">
        <v>80</v>
      </c>
      <c r="AN674" s="57"/>
      <c r="AO674" s="57"/>
      <c r="AP674" s="57"/>
      <c r="AQ674" s="57"/>
      <c r="AR674" s="57"/>
      <c r="AS674" s="57"/>
      <c r="AT674" s="57"/>
      <c r="AU674" s="58">
        <f t="shared" si="10"/>
        <v>-107.73290000000003</v>
      </c>
      <c r="AV674" s="58"/>
    </row>
    <row r="675" spans="1:48" ht="13.5" customHeight="1">
      <c r="A675" s="84">
        <v>673</v>
      </c>
      <c r="B675" s="85">
        <v>265</v>
      </c>
      <c r="C675" s="85" t="s">
        <v>39</v>
      </c>
      <c r="D675" s="175">
        <v>79.69497000000004</v>
      </c>
      <c r="F675" s="45">
        <v>882</v>
      </c>
      <c r="G675" s="45">
        <v>715.8914625000001</v>
      </c>
      <c r="H675" s="56">
        <v>79.69497000000004</v>
      </c>
      <c r="I675" s="56">
        <v>79.69497000000004</v>
      </c>
      <c r="J675" s="148">
        <v>0</v>
      </c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57"/>
      <c r="AE675" s="57"/>
      <c r="AF675" s="57"/>
      <c r="AG675" s="57"/>
      <c r="AH675" s="57"/>
      <c r="AI675" s="57"/>
      <c r="AJ675" s="57"/>
      <c r="AK675" s="57"/>
      <c r="AL675" s="57"/>
      <c r="AM675" s="57"/>
      <c r="AN675" s="57"/>
      <c r="AO675" s="57"/>
      <c r="AP675" s="57"/>
      <c r="AQ675" s="57"/>
      <c r="AR675" s="57"/>
      <c r="AS675" s="57"/>
      <c r="AT675" s="57"/>
      <c r="AU675" s="58">
        <f t="shared" si="10"/>
        <v>79.69497000000004</v>
      </c>
      <c r="AV675" s="58"/>
    </row>
    <row r="676" spans="1:48" ht="13.5" customHeight="1">
      <c r="A676" s="82">
        <v>674</v>
      </c>
      <c r="B676" s="85">
        <v>267</v>
      </c>
      <c r="C676" s="85" t="s">
        <v>39</v>
      </c>
      <c r="D676" s="175">
        <v>67.423935</v>
      </c>
      <c r="F676" s="45">
        <v>882</v>
      </c>
      <c r="G676" s="45">
        <v>717.75</v>
      </c>
      <c r="H676" s="56">
        <v>105.423935</v>
      </c>
      <c r="I676" s="56">
        <v>105.423935</v>
      </c>
      <c r="J676" s="148">
        <v>0</v>
      </c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  <c r="AA676" s="57"/>
      <c r="AB676" s="57"/>
      <c r="AC676" s="57"/>
      <c r="AD676" s="57"/>
      <c r="AE676" s="57">
        <v>22</v>
      </c>
      <c r="AF676" s="57"/>
      <c r="AG676" s="57"/>
      <c r="AH676" s="57"/>
      <c r="AI676" s="57"/>
      <c r="AJ676" s="57"/>
      <c r="AK676" s="57"/>
      <c r="AL676" s="57"/>
      <c r="AM676" s="57"/>
      <c r="AN676" s="57">
        <v>16</v>
      </c>
      <c r="AO676" s="57"/>
      <c r="AP676" s="57"/>
      <c r="AQ676" s="57"/>
      <c r="AR676" s="57"/>
      <c r="AS676" s="57"/>
      <c r="AT676" s="57"/>
      <c r="AU676" s="58">
        <f t="shared" si="10"/>
        <v>67.423935</v>
      </c>
      <c r="AV676" s="58"/>
    </row>
    <row r="677" spans="1:48" ht="13.5" customHeight="1">
      <c r="A677" s="84">
        <v>675</v>
      </c>
      <c r="B677" s="85">
        <v>268</v>
      </c>
      <c r="C677" s="85" t="s">
        <v>39</v>
      </c>
      <c r="D677" s="175">
        <v>-128.86712999999997</v>
      </c>
      <c r="F677" s="45">
        <v>882</v>
      </c>
      <c r="G677" s="45">
        <v>746.8</v>
      </c>
      <c r="H677" s="56">
        <v>45.132870000000025</v>
      </c>
      <c r="I677" s="56">
        <v>45.132870000000025</v>
      </c>
      <c r="J677" s="148">
        <v>0</v>
      </c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  <c r="AA677" s="57"/>
      <c r="AB677" s="57"/>
      <c r="AC677" s="57">
        <v>24</v>
      </c>
      <c r="AD677" s="57"/>
      <c r="AE677" s="57"/>
      <c r="AF677" s="57"/>
      <c r="AG677" s="57"/>
      <c r="AH677" s="57"/>
      <c r="AI677" s="57"/>
      <c r="AJ677" s="57"/>
      <c r="AK677" s="57"/>
      <c r="AL677" s="57"/>
      <c r="AM677" s="57"/>
      <c r="AN677" s="57">
        <v>50</v>
      </c>
      <c r="AO677" s="57"/>
      <c r="AP677" s="57">
        <v>50</v>
      </c>
      <c r="AQ677" s="57">
        <v>50</v>
      </c>
      <c r="AR677" s="57"/>
      <c r="AS677" s="57"/>
      <c r="AT677" s="57"/>
      <c r="AU677" s="58">
        <f t="shared" si="10"/>
        <v>-128.86712999999997</v>
      </c>
      <c r="AV677" s="58"/>
    </row>
    <row r="678" spans="1:48" ht="13.5" customHeight="1">
      <c r="A678" s="82">
        <v>676</v>
      </c>
      <c r="B678" s="85">
        <v>269</v>
      </c>
      <c r="C678" s="85" t="s">
        <v>39</v>
      </c>
      <c r="D678" s="175">
        <v>-142.22580000000005</v>
      </c>
      <c r="F678" s="45">
        <v>882</v>
      </c>
      <c r="G678" s="45">
        <v>853.94154000000003</v>
      </c>
      <c r="H678" s="56">
        <v>-81.335800000000063</v>
      </c>
      <c r="I678" s="56">
        <v>-81.335800000000063</v>
      </c>
      <c r="J678" s="148">
        <v>0</v>
      </c>
      <c r="K678" s="57"/>
      <c r="L678" s="57"/>
      <c r="M678" s="57"/>
      <c r="N678" s="57">
        <v>60.89</v>
      </c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  <c r="AA678" s="57"/>
      <c r="AB678" s="57"/>
      <c r="AC678" s="57"/>
      <c r="AD678" s="57"/>
      <c r="AE678" s="57"/>
      <c r="AF678" s="57"/>
      <c r="AG678" s="57"/>
      <c r="AH678" s="57"/>
      <c r="AI678" s="57"/>
      <c r="AJ678" s="57"/>
      <c r="AK678" s="57"/>
      <c r="AL678" s="57"/>
      <c r="AM678" s="57"/>
      <c r="AN678" s="57"/>
      <c r="AO678" s="57"/>
      <c r="AP678" s="57"/>
      <c r="AQ678" s="57"/>
      <c r="AR678" s="57"/>
      <c r="AS678" s="57"/>
      <c r="AT678" s="57"/>
      <c r="AU678" s="58">
        <f t="shared" si="10"/>
        <v>-142.22580000000005</v>
      </c>
      <c r="AV678" s="58"/>
    </row>
    <row r="679" spans="1:48" ht="13.5" customHeight="1">
      <c r="A679" s="84">
        <v>677</v>
      </c>
      <c r="B679" s="85">
        <v>276</v>
      </c>
      <c r="C679" s="85" t="s">
        <v>39</v>
      </c>
      <c r="D679" s="175">
        <v>84.087815000000035</v>
      </c>
      <c r="F679" s="45">
        <v>560</v>
      </c>
      <c r="G679" s="45">
        <v>323.37029999999999</v>
      </c>
      <c r="H679" s="56">
        <v>84.087815000000035</v>
      </c>
      <c r="I679" s="56">
        <v>84.087815000000035</v>
      </c>
      <c r="J679" s="148">
        <v>0</v>
      </c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  <c r="AA679" s="57"/>
      <c r="AB679" s="57"/>
      <c r="AC679" s="57"/>
      <c r="AD679" s="57"/>
      <c r="AE679" s="57"/>
      <c r="AF679" s="57"/>
      <c r="AG679" s="57"/>
      <c r="AH679" s="57"/>
      <c r="AI679" s="57"/>
      <c r="AJ679" s="57"/>
      <c r="AK679" s="57"/>
      <c r="AL679" s="57"/>
      <c r="AM679" s="57"/>
      <c r="AN679" s="57"/>
      <c r="AO679" s="57"/>
      <c r="AP679" s="57"/>
      <c r="AQ679" s="57"/>
      <c r="AR679" s="57"/>
      <c r="AS679" s="57"/>
      <c r="AT679" s="57"/>
      <c r="AU679" s="58">
        <f t="shared" si="10"/>
        <v>84.087815000000035</v>
      </c>
      <c r="AV679" s="58"/>
    </row>
    <row r="680" spans="1:48" ht="13.5" customHeight="1">
      <c r="A680" s="84">
        <v>678</v>
      </c>
      <c r="B680" s="85">
        <v>277</v>
      </c>
      <c r="C680" s="85" t="s">
        <v>39</v>
      </c>
      <c r="D680" s="175">
        <v>-128.33000000000001</v>
      </c>
      <c r="F680" s="45">
        <v>250</v>
      </c>
      <c r="G680" s="45">
        <v>160.439832</v>
      </c>
      <c r="H680" s="56">
        <v>-28.330000000000013</v>
      </c>
      <c r="I680" s="56">
        <v>-28.330000000000013</v>
      </c>
      <c r="J680" s="148">
        <v>0</v>
      </c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  <c r="AA680" s="57"/>
      <c r="AB680" s="57"/>
      <c r="AC680" s="57"/>
      <c r="AD680" s="57"/>
      <c r="AE680" s="57"/>
      <c r="AF680" s="57"/>
      <c r="AG680" s="57"/>
      <c r="AH680" s="57"/>
      <c r="AI680" s="57"/>
      <c r="AJ680" s="57">
        <v>100</v>
      </c>
      <c r="AK680" s="57"/>
      <c r="AL680" s="57"/>
      <c r="AM680" s="57"/>
      <c r="AN680" s="57"/>
      <c r="AO680" s="57"/>
      <c r="AP680" s="57"/>
      <c r="AQ680" s="57"/>
      <c r="AR680" s="57"/>
      <c r="AS680" s="57"/>
      <c r="AT680" s="57"/>
      <c r="AU680" s="58">
        <f t="shared" si="10"/>
        <v>-128.33000000000001</v>
      </c>
      <c r="AV680" s="58"/>
    </row>
    <row r="681" spans="1:48" ht="13.5" customHeight="1">
      <c r="A681" s="82">
        <v>679</v>
      </c>
      <c r="B681" s="85">
        <v>331</v>
      </c>
      <c r="C681" s="85" t="s">
        <v>39</v>
      </c>
      <c r="D681" s="175">
        <v>181.93731750000001</v>
      </c>
      <c r="F681" s="45">
        <v>560</v>
      </c>
      <c r="G681" s="45">
        <v>614.02233749999994</v>
      </c>
      <c r="H681" s="56">
        <v>221.93731750000001</v>
      </c>
      <c r="I681" s="56">
        <v>221.93731750000001</v>
      </c>
      <c r="J681" s="148">
        <v>0</v>
      </c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>
        <v>20</v>
      </c>
      <c r="W681" s="57"/>
      <c r="X681" s="57"/>
      <c r="Y681" s="57"/>
      <c r="Z681" s="57"/>
      <c r="AA681" s="57"/>
      <c r="AB681" s="57"/>
      <c r="AC681" s="57"/>
      <c r="AD681" s="57"/>
      <c r="AE681" s="57"/>
      <c r="AF681" s="57"/>
      <c r="AG681" s="57"/>
      <c r="AH681" s="57"/>
      <c r="AI681" s="57"/>
      <c r="AJ681" s="57">
        <v>20</v>
      </c>
      <c r="AK681" s="57"/>
      <c r="AL681" s="57"/>
      <c r="AM681" s="57"/>
      <c r="AN681" s="57"/>
      <c r="AO681" s="57"/>
      <c r="AP681" s="57"/>
      <c r="AQ681" s="57"/>
      <c r="AR681" s="57"/>
      <c r="AS681" s="57"/>
      <c r="AT681" s="57"/>
      <c r="AU681" s="58">
        <f t="shared" si="10"/>
        <v>181.93731750000001</v>
      </c>
      <c r="AV681" s="58"/>
    </row>
    <row r="682" spans="1:48" ht="13.5" customHeight="1">
      <c r="A682" s="84">
        <v>680</v>
      </c>
      <c r="B682" s="85">
        <v>334</v>
      </c>
      <c r="C682" s="85" t="s">
        <v>39</v>
      </c>
      <c r="D682" s="175">
        <v>336.16714000000002</v>
      </c>
      <c r="F682" s="45">
        <v>882</v>
      </c>
      <c r="G682" s="45">
        <v>626.35258499999998</v>
      </c>
      <c r="H682" s="56">
        <v>395.16714000000002</v>
      </c>
      <c r="I682" s="56">
        <v>395.16714000000002</v>
      </c>
      <c r="J682" s="148">
        <v>0</v>
      </c>
      <c r="K682" s="57"/>
      <c r="L682" s="57">
        <v>9</v>
      </c>
      <c r="M682" s="57"/>
      <c r="N682" s="57"/>
      <c r="O682" s="57"/>
      <c r="P682" s="57"/>
      <c r="Q682" s="57"/>
      <c r="R682" s="57"/>
      <c r="S682" s="57"/>
      <c r="T682" s="57">
        <v>50</v>
      </c>
      <c r="U682" s="57"/>
      <c r="V682" s="57"/>
      <c r="W682" s="57"/>
      <c r="X682" s="57"/>
      <c r="Y682" s="57"/>
      <c r="Z682" s="57"/>
      <c r="AA682" s="57"/>
      <c r="AB682" s="57"/>
      <c r="AC682" s="57"/>
      <c r="AD682" s="57"/>
      <c r="AE682" s="57"/>
      <c r="AF682" s="57"/>
      <c r="AG682" s="57"/>
      <c r="AH682" s="57"/>
      <c r="AI682" s="57"/>
      <c r="AJ682" s="57"/>
      <c r="AK682" s="57"/>
      <c r="AL682" s="57"/>
      <c r="AM682" s="57"/>
      <c r="AN682" s="57"/>
      <c r="AO682" s="57"/>
      <c r="AP682" s="57"/>
      <c r="AQ682" s="57"/>
      <c r="AR682" s="57"/>
      <c r="AS682" s="57"/>
      <c r="AT682" s="57"/>
      <c r="AU682" s="58">
        <f t="shared" si="10"/>
        <v>336.16714000000002</v>
      </c>
      <c r="AV682" s="58"/>
    </row>
    <row r="683" spans="1:48" ht="13.5" customHeight="1">
      <c r="A683" s="82">
        <v>681</v>
      </c>
      <c r="B683" s="85">
        <v>342</v>
      </c>
      <c r="C683" s="85" t="s">
        <v>39</v>
      </c>
      <c r="D683" s="175">
        <v>382.93340499999999</v>
      </c>
      <c r="F683" s="45">
        <v>400</v>
      </c>
      <c r="G683" s="45">
        <v>402.92744999999996</v>
      </c>
      <c r="H683" s="56">
        <v>382.93340499999999</v>
      </c>
      <c r="I683" s="56">
        <v>382.93340499999999</v>
      </c>
      <c r="J683" s="148">
        <v>0</v>
      </c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57"/>
      <c r="AE683" s="57"/>
      <c r="AF683" s="57"/>
      <c r="AG683" s="57"/>
      <c r="AH683" s="57"/>
      <c r="AI683" s="57"/>
      <c r="AJ683" s="57"/>
      <c r="AK683" s="57"/>
      <c r="AL683" s="57"/>
      <c r="AM683" s="57"/>
      <c r="AN683" s="57"/>
      <c r="AO683" s="57"/>
      <c r="AP683" s="57"/>
      <c r="AQ683" s="57"/>
      <c r="AR683" s="57"/>
      <c r="AS683" s="57"/>
      <c r="AT683" s="57"/>
      <c r="AU683" s="58">
        <f t="shared" si="10"/>
        <v>382.93340499999999</v>
      </c>
      <c r="AV683" s="58"/>
    </row>
    <row r="684" spans="1:48" ht="13.5" customHeight="1">
      <c r="A684" s="84">
        <v>682</v>
      </c>
      <c r="B684" s="85">
        <v>344</v>
      </c>
      <c r="C684" s="85" t="s">
        <v>39</v>
      </c>
      <c r="D684" s="175">
        <v>83.830000000000013</v>
      </c>
      <c r="F684" s="45">
        <v>560</v>
      </c>
      <c r="G684" s="45">
        <v>622.45889999999997</v>
      </c>
      <c r="H684" s="56">
        <v>83.830000000000013</v>
      </c>
      <c r="I684" s="56">
        <v>83.830000000000013</v>
      </c>
      <c r="J684" s="148">
        <v>0</v>
      </c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  <c r="AA684" s="57"/>
      <c r="AB684" s="57"/>
      <c r="AC684" s="57"/>
      <c r="AD684" s="57"/>
      <c r="AE684" s="57"/>
      <c r="AF684" s="57"/>
      <c r="AG684" s="57"/>
      <c r="AH684" s="57"/>
      <c r="AI684" s="57"/>
      <c r="AJ684" s="57"/>
      <c r="AK684" s="57"/>
      <c r="AL684" s="57"/>
      <c r="AM684" s="57"/>
      <c r="AN684" s="57"/>
      <c r="AO684" s="57"/>
      <c r="AP684" s="57"/>
      <c r="AQ684" s="57"/>
      <c r="AR684" s="57"/>
      <c r="AS684" s="57"/>
      <c r="AT684" s="57"/>
      <c r="AU684" s="58">
        <f t="shared" si="10"/>
        <v>83.830000000000013</v>
      </c>
      <c r="AV684" s="58"/>
    </row>
    <row r="685" spans="1:48" ht="13.5" customHeight="1">
      <c r="A685" s="84">
        <v>683</v>
      </c>
      <c r="B685" s="85">
        <v>345</v>
      </c>
      <c r="C685" s="85" t="s">
        <v>39</v>
      </c>
      <c r="D685" s="175">
        <v>-164.61099999999999</v>
      </c>
      <c r="F685" s="45">
        <v>251.99999999999997</v>
      </c>
      <c r="G685" s="45">
        <v>250.56</v>
      </c>
      <c r="H685" s="56">
        <v>-79.11099999999999</v>
      </c>
      <c r="I685" s="56">
        <v>-79.11099999999999</v>
      </c>
      <c r="J685" s="148">
        <v>0</v>
      </c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57"/>
      <c r="AC685" s="57"/>
      <c r="AD685" s="57"/>
      <c r="AE685" s="57"/>
      <c r="AF685" s="57"/>
      <c r="AG685" s="57"/>
      <c r="AH685" s="57"/>
      <c r="AI685" s="57"/>
      <c r="AJ685" s="57"/>
      <c r="AK685" s="57"/>
      <c r="AL685" s="57"/>
      <c r="AM685" s="57"/>
      <c r="AN685" s="57"/>
      <c r="AO685" s="57"/>
      <c r="AP685" s="57">
        <v>50.3</v>
      </c>
      <c r="AQ685" s="57"/>
      <c r="AR685" s="57"/>
      <c r="AS685" s="57"/>
      <c r="AT685" s="57">
        <v>35.200000000000003</v>
      </c>
      <c r="AU685" s="58">
        <f t="shared" si="10"/>
        <v>-164.61099999999999</v>
      </c>
      <c r="AV685" s="58"/>
    </row>
    <row r="686" spans="1:48" ht="13.5" customHeight="1">
      <c r="A686" s="82">
        <v>684</v>
      </c>
      <c r="B686" s="85">
        <v>347</v>
      </c>
      <c r="C686" s="85" t="s">
        <v>39</v>
      </c>
      <c r="D686" s="175">
        <v>152.18994000000004</v>
      </c>
      <c r="F686" s="45">
        <v>350</v>
      </c>
      <c r="G686" s="45">
        <v>350.262</v>
      </c>
      <c r="H686" s="56">
        <v>152.18994000000004</v>
      </c>
      <c r="I686" s="56">
        <v>152.18994000000004</v>
      </c>
      <c r="J686" s="148">
        <v>0</v>
      </c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  <c r="AD686" s="57"/>
      <c r="AE686" s="57"/>
      <c r="AF686" s="57"/>
      <c r="AG686" s="57"/>
      <c r="AH686" s="57"/>
      <c r="AI686" s="57"/>
      <c r="AJ686" s="57"/>
      <c r="AK686" s="57"/>
      <c r="AL686" s="57"/>
      <c r="AM686" s="57"/>
      <c r="AN686" s="57"/>
      <c r="AO686" s="57"/>
      <c r="AP686" s="57"/>
      <c r="AQ686" s="57"/>
      <c r="AR686" s="57"/>
      <c r="AS686" s="57"/>
      <c r="AT686" s="57"/>
      <c r="AU686" s="58">
        <f t="shared" si="10"/>
        <v>152.18994000000004</v>
      </c>
      <c r="AV686" s="58"/>
    </row>
    <row r="687" spans="1:48" ht="13.5" customHeight="1">
      <c r="A687" s="84">
        <v>685</v>
      </c>
      <c r="B687" s="85">
        <v>355</v>
      </c>
      <c r="C687" s="85" t="s">
        <v>39</v>
      </c>
      <c r="D687" s="175">
        <v>-52.208399999999997</v>
      </c>
      <c r="F687" s="45">
        <v>882</v>
      </c>
      <c r="G687" s="45">
        <v>738.46469999999999</v>
      </c>
      <c r="H687" s="56">
        <v>-36.208399999999997</v>
      </c>
      <c r="I687" s="56">
        <v>-36.208399999999997</v>
      </c>
      <c r="J687" s="148">
        <v>0</v>
      </c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  <c r="AA687" s="57"/>
      <c r="AB687" s="57"/>
      <c r="AC687" s="57"/>
      <c r="AD687" s="57"/>
      <c r="AE687" s="57"/>
      <c r="AF687" s="57"/>
      <c r="AG687" s="57">
        <v>16</v>
      </c>
      <c r="AH687" s="57"/>
      <c r="AI687" s="57"/>
      <c r="AJ687" s="57"/>
      <c r="AK687" s="57"/>
      <c r="AL687" s="57"/>
      <c r="AM687" s="57"/>
      <c r="AN687" s="57"/>
      <c r="AO687" s="57"/>
      <c r="AP687" s="57"/>
      <c r="AQ687" s="57"/>
      <c r="AR687" s="57"/>
      <c r="AS687" s="57"/>
      <c r="AT687" s="57"/>
      <c r="AU687" s="58">
        <f t="shared" si="10"/>
        <v>-52.208399999999997</v>
      </c>
      <c r="AV687" s="58"/>
    </row>
    <row r="688" spans="1:48" ht="13.5" customHeight="1">
      <c r="A688" s="82">
        <v>686</v>
      </c>
      <c r="B688" s="85">
        <v>357</v>
      </c>
      <c r="C688" s="85" t="s">
        <v>39</v>
      </c>
      <c r="D688" s="175">
        <v>-82</v>
      </c>
      <c r="F688" s="45">
        <v>560</v>
      </c>
      <c r="G688" s="45">
        <v>531.74573999999996</v>
      </c>
      <c r="H688" s="56">
        <v>518</v>
      </c>
      <c r="I688" s="56">
        <v>518</v>
      </c>
      <c r="J688" s="148">
        <v>0</v>
      </c>
      <c r="K688" s="57"/>
      <c r="L688" s="57"/>
      <c r="M688" s="57">
        <v>600</v>
      </c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  <c r="AA688" s="57"/>
      <c r="AB688" s="57"/>
      <c r="AC688" s="57"/>
      <c r="AD688" s="57"/>
      <c r="AE688" s="57"/>
      <c r="AF688" s="57"/>
      <c r="AG688" s="57"/>
      <c r="AH688" s="57"/>
      <c r="AI688" s="57"/>
      <c r="AJ688" s="57"/>
      <c r="AK688" s="57"/>
      <c r="AL688" s="57"/>
      <c r="AM688" s="57"/>
      <c r="AN688" s="57"/>
      <c r="AO688" s="57"/>
      <c r="AP688" s="57"/>
      <c r="AQ688" s="57"/>
      <c r="AR688" s="57"/>
      <c r="AS688" s="57"/>
      <c r="AT688" s="57"/>
      <c r="AU688" s="58">
        <f t="shared" si="10"/>
        <v>-82</v>
      </c>
      <c r="AV688" s="58"/>
    </row>
    <row r="689" spans="1:48" ht="13.5" customHeight="1">
      <c r="A689" s="84">
        <v>687</v>
      </c>
      <c r="B689" s="85">
        <v>365</v>
      </c>
      <c r="C689" s="85" t="s">
        <v>39</v>
      </c>
      <c r="D689" s="175">
        <v>118.30192999999997</v>
      </c>
      <c r="F689" s="45">
        <v>882</v>
      </c>
      <c r="G689" s="45">
        <v>932.63999999999987</v>
      </c>
      <c r="H689" s="56">
        <v>139.30192999999997</v>
      </c>
      <c r="I689" s="56">
        <v>139.30192999999997</v>
      </c>
      <c r="J689" s="148">
        <v>0</v>
      </c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  <c r="AA689" s="57"/>
      <c r="AB689" s="57"/>
      <c r="AC689" s="57"/>
      <c r="AD689" s="57"/>
      <c r="AE689" s="57"/>
      <c r="AF689" s="57">
        <v>21</v>
      </c>
      <c r="AG689" s="57"/>
      <c r="AH689" s="57"/>
      <c r="AI689" s="57"/>
      <c r="AJ689" s="57"/>
      <c r="AK689" s="57"/>
      <c r="AL689" s="57"/>
      <c r="AM689" s="57"/>
      <c r="AN689" s="57"/>
      <c r="AO689" s="57"/>
      <c r="AP689" s="57"/>
      <c r="AQ689" s="57"/>
      <c r="AR689" s="57"/>
      <c r="AS689" s="57"/>
      <c r="AT689" s="57"/>
      <c r="AU689" s="58">
        <f t="shared" si="10"/>
        <v>118.30192999999997</v>
      </c>
      <c r="AV689" s="58"/>
    </row>
    <row r="690" spans="1:48" ht="13.5" customHeight="1">
      <c r="A690" s="84">
        <v>688</v>
      </c>
      <c r="B690" s="85">
        <v>379</v>
      </c>
      <c r="C690" s="85" t="s">
        <v>39</v>
      </c>
      <c r="D690" s="175">
        <v>-32.385399999999947</v>
      </c>
      <c r="F690" s="45">
        <v>560</v>
      </c>
      <c r="G690" s="45">
        <v>434.565</v>
      </c>
      <c r="H690" s="56">
        <v>-32.385399999999947</v>
      </c>
      <c r="I690" s="56">
        <v>-32.385399999999947</v>
      </c>
      <c r="J690" s="148">
        <v>0</v>
      </c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  <c r="AA690" s="57"/>
      <c r="AB690" s="57"/>
      <c r="AC690" s="57"/>
      <c r="AD690" s="57"/>
      <c r="AE690" s="57"/>
      <c r="AF690" s="57"/>
      <c r="AG690" s="57"/>
      <c r="AH690" s="57"/>
      <c r="AI690" s="57"/>
      <c r="AJ690" s="57"/>
      <c r="AK690" s="57"/>
      <c r="AL690" s="57"/>
      <c r="AM690" s="57"/>
      <c r="AN690" s="57"/>
      <c r="AO690" s="57"/>
      <c r="AP690" s="57"/>
      <c r="AQ690" s="57"/>
      <c r="AR690" s="57"/>
      <c r="AS690" s="57"/>
      <c r="AT690" s="57"/>
      <c r="AU690" s="58">
        <f t="shared" si="10"/>
        <v>-32.385399999999947</v>
      </c>
      <c r="AV690" s="58"/>
    </row>
    <row r="691" spans="1:48" ht="13.5" customHeight="1">
      <c r="A691" s="82">
        <v>689</v>
      </c>
      <c r="B691" s="85">
        <v>382</v>
      </c>
      <c r="C691" s="85" t="s">
        <v>39</v>
      </c>
      <c r="D691" s="175">
        <v>114.92515999999996</v>
      </c>
      <c r="F691" s="45">
        <v>560</v>
      </c>
      <c r="G691" s="45">
        <v>492.36780000000005</v>
      </c>
      <c r="H691" s="56">
        <v>159.12515999999997</v>
      </c>
      <c r="I691" s="56">
        <v>159.12515999999997</v>
      </c>
      <c r="J691" s="148">
        <v>0</v>
      </c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>
        <v>44.2</v>
      </c>
      <c r="X691" s="57"/>
      <c r="Y691" s="57"/>
      <c r="Z691" s="57"/>
      <c r="AA691" s="57"/>
      <c r="AB691" s="57"/>
      <c r="AC691" s="57"/>
      <c r="AD691" s="57"/>
      <c r="AE691" s="57"/>
      <c r="AF691" s="57"/>
      <c r="AG691" s="57"/>
      <c r="AH691" s="57"/>
      <c r="AI691" s="57"/>
      <c r="AJ691" s="57"/>
      <c r="AK691" s="57"/>
      <c r="AL691" s="57"/>
      <c r="AM691" s="57"/>
      <c r="AN691" s="57"/>
      <c r="AO691" s="57"/>
      <c r="AP691" s="57"/>
      <c r="AQ691" s="57"/>
      <c r="AR691" s="57"/>
      <c r="AS691" s="57"/>
      <c r="AT691" s="57"/>
      <c r="AU691" s="58">
        <f t="shared" si="10"/>
        <v>114.92515999999996</v>
      </c>
      <c r="AV691" s="58"/>
    </row>
    <row r="692" spans="1:48" ht="13.5" customHeight="1">
      <c r="A692" s="84">
        <v>690</v>
      </c>
      <c r="B692" s="85">
        <v>397</v>
      </c>
      <c r="C692" s="85" t="s">
        <v>39</v>
      </c>
      <c r="D692" s="175">
        <v>220</v>
      </c>
      <c r="H692" s="56"/>
      <c r="I692" s="56">
        <v>320</v>
      </c>
      <c r="J692" s="148"/>
      <c r="K692" s="57"/>
      <c r="L692" s="57"/>
      <c r="M692" s="57"/>
      <c r="N692" s="57"/>
      <c r="O692" s="57"/>
      <c r="P692" s="57">
        <v>100</v>
      </c>
      <c r="Q692" s="57"/>
      <c r="R692" s="57"/>
      <c r="S692" s="57"/>
      <c r="T692" s="57"/>
      <c r="U692" s="57"/>
      <c r="V692" s="57"/>
      <c r="W692" s="57"/>
      <c r="X692" s="57"/>
      <c r="Y692" s="57"/>
      <c r="Z692" s="57"/>
      <c r="AA692" s="57"/>
      <c r="AB692" s="57"/>
      <c r="AC692" s="57"/>
      <c r="AD692" s="57"/>
      <c r="AE692" s="57"/>
      <c r="AF692" s="57"/>
      <c r="AG692" s="57"/>
      <c r="AH692" s="57"/>
      <c r="AI692" s="57"/>
      <c r="AJ692" s="57"/>
      <c r="AK692" s="57"/>
      <c r="AL692" s="57"/>
      <c r="AM692" s="57"/>
      <c r="AN692" s="57"/>
      <c r="AO692" s="57"/>
      <c r="AP692" s="57"/>
      <c r="AQ692" s="57"/>
      <c r="AR692" s="57"/>
      <c r="AS692" s="57"/>
      <c r="AT692" s="57"/>
      <c r="AU692" s="58">
        <f t="shared" si="10"/>
        <v>220</v>
      </c>
      <c r="AV692" s="58"/>
    </row>
    <row r="693" spans="1:48" ht="13.5" customHeight="1">
      <c r="A693" s="82">
        <v>691</v>
      </c>
      <c r="B693" s="85">
        <v>400</v>
      </c>
      <c r="C693" s="85" t="s">
        <v>39</v>
      </c>
      <c r="D693" s="175">
        <v>-101.35480000000001</v>
      </c>
      <c r="F693" s="45">
        <v>560</v>
      </c>
      <c r="G693" s="45">
        <v>513.29999999999995</v>
      </c>
      <c r="H693" s="56">
        <v>-101.35480000000001</v>
      </c>
      <c r="I693" s="56">
        <v>-101.35480000000001</v>
      </c>
      <c r="J693" s="148">
        <v>0</v>
      </c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  <c r="AA693" s="57"/>
      <c r="AB693" s="57"/>
      <c r="AC693" s="57"/>
      <c r="AD693" s="57"/>
      <c r="AE693" s="57"/>
      <c r="AF693" s="57"/>
      <c r="AG693" s="57"/>
      <c r="AH693" s="57"/>
      <c r="AI693" s="57"/>
      <c r="AJ693" s="57"/>
      <c r="AK693" s="57"/>
      <c r="AL693" s="57"/>
      <c r="AM693" s="57"/>
      <c r="AN693" s="57"/>
      <c r="AO693" s="57"/>
      <c r="AP693" s="57"/>
      <c r="AQ693" s="57"/>
      <c r="AR693" s="57"/>
      <c r="AS693" s="57"/>
      <c r="AT693" s="57"/>
      <c r="AU693" s="58">
        <f t="shared" si="10"/>
        <v>-101.35480000000001</v>
      </c>
      <c r="AV693" s="58"/>
    </row>
    <row r="694" spans="1:48" ht="13.5" customHeight="1">
      <c r="A694" s="84">
        <v>692</v>
      </c>
      <c r="B694" s="85">
        <v>418</v>
      </c>
      <c r="C694" s="85" t="s">
        <v>39</v>
      </c>
      <c r="D694" s="175">
        <v>43.271999999999991</v>
      </c>
      <c r="F694" s="45">
        <v>882</v>
      </c>
      <c r="G694" s="45">
        <v>938</v>
      </c>
      <c r="H694" s="56">
        <v>68.271999999999991</v>
      </c>
      <c r="I694" s="56">
        <v>68.271999999999991</v>
      </c>
      <c r="J694" s="148">
        <v>0</v>
      </c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  <c r="AA694" s="57"/>
      <c r="AB694" s="57"/>
      <c r="AC694" s="57"/>
      <c r="AD694" s="57"/>
      <c r="AE694" s="57"/>
      <c r="AF694" s="57"/>
      <c r="AG694" s="57"/>
      <c r="AH694" s="57"/>
      <c r="AI694" s="57"/>
      <c r="AJ694" s="57"/>
      <c r="AK694" s="57"/>
      <c r="AL694" s="57"/>
      <c r="AM694" s="57"/>
      <c r="AN694" s="57"/>
      <c r="AO694" s="57"/>
      <c r="AP694" s="57"/>
      <c r="AQ694" s="57"/>
      <c r="AR694" s="57"/>
      <c r="AS694" s="57"/>
      <c r="AT694" s="57">
        <v>25</v>
      </c>
      <c r="AU694" s="58">
        <f t="shared" si="10"/>
        <v>43.271999999999991</v>
      </c>
      <c r="AV694" s="58"/>
    </row>
    <row r="695" spans="1:48" ht="13.5" customHeight="1">
      <c r="A695" s="84">
        <v>693</v>
      </c>
      <c r="B695" s="85">
        <v>419</v>
      </c>
      <c r="C695" s="85" t="s">
        <v>39</v>
      </c>
      <c r="D695" s="175">
        <v>-184.07999999999998</v>
      </c>
      <c r="F695" s="45">
        <v>882</v>
      </c>
      <c r="G695" s="45">
        <v>787.1583824999999</v>
      </c>
      <c r="H695" s="56">
        <v>225.92000000000002</v>
      </c>
      <c r="I695" s="56">
        <v>225.92000000000002</v>
      </c>
      <c r="J695" s="148">
        <v>0</v>
      </c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>
        <v>300</v>
      </c>
      <c r="X695" s="57"/>
      <c r="Y695" s="57">
        <v>110</v>
      </c>
      <c r="Z695" s="57"/>
      <c r="AA695" s="57"/>
      <c r="AB695" s="57"/>
      <c r="AC695" s="57"/>
      <c r="AD695" s="57"/>
      <c r="AE695" s="57"/>
      <c r="AF695" s="57"/>
      <c r="AG695" s="57"/>
      <c r="AH695" s="57"/>
      <c r="AI695" s="57"/>
      <c r="AJ695" s="57"/>
      <c r="AK695" s="57"/>
      <c r="AL695" s="57"/>
      <c r="AM695" s="57"/>
      <c r="AN695" s="57"/>
      <c r="AO695" s="57"/>
      <c r="AP695" s="57"/>
      <c r="AQ695" s="57"/>
      <c r="AR695" s="57"/>
      <c r="AS695" s="57"/>
      <c r="AT695" s="57"/>
      <c r="AU695" s="58">
        <f t="shared" si="10"/>
        <v>-184.07999999999998</v>
      </c>
      <c r="AV695" s="58"/>
    </row>
    <row r="696" spans="1:48" ht="13.5" customHeight="1">
      <c r="A696" s="82">
        <v>694</v>
      </c>
      <c r="B696" s="85">
        <v>424</v>
      </c>
      <c r="C696" s="85" t="s">
        <v>39</v>
      </c>
      <c r="D696" s="175">
        <v>-22.453799999999944</v>
      </c>
      <c r="F696" s="45">
        <v>560</v>
      </c>
      <c r="G696" s="45">
        <v>503.98229999999995</v>
      </c>
      <c r="H696" s="56">
        <v>-22.453799999999944</v>
      </c>
      <c r="I696" s="56">
        <v>-22.453799999999944</v>
      </c>
      <c r="J696" s="148">
        <v>0</v>
      </c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  <c r="AA696" s="57"/>
      <c r="AB696" s="57"/>
      <c r="AC696" s="57"/>
      <c r="AD696" s="57"/>
      <c r="AE696" s="57"/>
      <c r="AF696" s="57"/>
      <c r="AG696" s="57"/>
      <c r="AH696" s="57"/>
      <c r="AI696" s="57"/>
      <c r="AJ696" s="57"/>
      <c r="AK696" s="57"/>
      <c r="AL696" s="57"/>
      <c r="AM696" s="57"/>
      <c r="AN696" s="57"/>
      <c r="AO696" s="57"/>
      <c r="AP696" s="57"/>
      <c r="AQ696" s="57"/>
      <c r="AR696" s="57"/>
      <c r="AS696" s="57"/>
      <c r="AT696" s="57"/>
      <c r="AU696" s="58">
        <f t="shared" si="10"/>
        <v>-22.453799999999944</v>
      </c>
      <c r="AV696" s="58"/>
    </row>
    <row r="697" spans="1:48" ht="13.5" customHeight="1">
      <c r="A697" s="84">
        <v>695</v>
      </c>
      <c r="B697" s="85">
        <v>428</v>
      </c>
      <c r="C697" s="85" t="s">
        <v>39</v>
      </c>
      <c r="D697" s="175">
        <v>65.77976000000001</v>
      </c>
      <c r="F697" s="45">
        <v>882</v>
      </c>
      <c r="G697" s="45">
        <v>635.39384249999989</v>
      </c>
      <c r="H697" s="56">
        <v>105.77976000000001</v>
      </c>
      <c r="I697" s="56">
        <v>105.77976000000001</v>
      </c>
      <c r="J697" s="148">
        <v>0</v>
      </c>
      <c r="K697" s="57"/>
      <c r="L697" s="57">
        <v>40</v>
      </c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57"/>
      <c r="AE697" s="57"/>
      <c r="AF697" s="57"/>
      <c r="AG697" s="57"/>
      <c r="AH697" s="57"/>
      <c r="AI697" s="57"/>
      <c r="AJ697" s="57"/>
      <c r="AK697" s="57"/>
      <c r="AL697" s="57"/>
      <c r="AM697" s="57"/>
      <c r="AN697" s="57"/>
      <c r="AO697" s="57"/>
      <c r="AP697" s="57"/>
      <c r="AQ697" s="57"/>
      <c r="AR697" s="57"/>
      <c r="AS697" s="57"/>
      <c r="AT697" s="57"/>
      <c r="AU697" s="58">
        <f t="shared" si="10"/>
        <v>65.77976000000001</v>
      </c>
      <c r="AV697" s="58"/>
    </row>
    <row r="698" spans="1:48" ht="13.5" customHeight="1">
      <c r="A698" s="82">
        <v>696</v>
      </c>
      <c r="B698" s="85">
        <v>430</v>
      </c>
      <c r="C698" s="85" t="s">
        <v>39</v>
      </c>
      <c r="D698" s="175">
        <v>251.87380000000002</v>
      </c>
      <c r="F698" s="45">
        <v>882</v>
      </c>
      <c r="G698" s="45">
        <v>847.18849124999997</v>
      </c>
      <c r="H698" s="56">
        <v>251.87380000000002</v>
      </c>
      <c r="I698" s="56">
        <v>251.87380000000002</v>
      </c>
      <c r="J698" s="148">
        <v>0</v>
      </c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57"/>
      <c r="AE698" s="57"/>
      <c r="AF698" s="57"/>
      <c r="AG698" s="57"/>
      <c r="AH698" s="57"/>
      <c r="AI698" s="57"/>
      <c r="AJ698" s="57"/>
      <c r="AK698" s="57"/>
      <c r="AL698" s="57"/>
      <c r="AM698" s="57"/>
      <c r="AN698" s="57"/>
      <c r="AO698" s="57"/>
      <c r="AP698" s="57"/>
      <c r="AQ698" s="57"/>
      <c r="AR698" s="57"/>
      <c r="AS698" s="57"/>
      <c r="AT698" s="57"/>
      <c r="AU698" s="58">
        <f t="shared" si="10"/>
        <v>251.87380000000002</v>
      </c>
      <c r="AV698" s="58"/>
    </row>
    <row r="699" spans="1:48" ht="13.5" customHeight="1">
      <c r="A699" s="84">
        <v>697</v>
      </c>
      <c r="B699" s="85">
        <v>434</v>
      </c>
      <c r="C699" s="85" t="s">
        <v>39</v>
      </c>
      <c r="D699" s="175">
        <v>143.06180000000006</v>
      </c>
      <c r="F699" s="45">
        <v>882</v>
      </c>
      <c r="G699" s="45">
        <v>948.87160000000006</v>
      </c>
      <c r="H699" s="56">
        <v>143.06180000000006</v>
      </c>
      <c r="I699" s="56">
        <v>143.06180000000006</v>
      </c>
      <c r="J699" s="148">
        <v>0</v>
      </c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57"/>
      <c r="AE699" s="57"/>
      <c r="AF699" s="57"/>
      <c r="AG699" s="57"/>
      <c r="AH699" s="57"/>
      <c r="AI699" s="57"/>
      <c r="AJ699" s="57"/>
      <c r="AK699" s="57"/>
      <c r="AL699" s="57"/>
      <c r="AM699" s="57"/>
      <c r="AN699" s="57"/>
      <c r="AO699" s="57"/>
      <c r="AP699" s="57"/>
      <c r="AQ699" s="57"/>
      <c r="AR699" s="57"/>
      <c r="AS699" s="57"/>
      <c r="AT699" s="57"/>
      <c r="AU699" s="58">
        <f t="shared" si="10"/>
        <v>143.06180000000006</v>
      </c>
      <c r="AV699" s="58"/>
    </row>
    <row r="700" spans="1:48" ht="13.5" customHeight="1">
      <c r="A700" s="84">
        <v>698</v>
      </c>
      <c r="B700" s="85">
        <v>435</v>
      </c>
      <c r="C700" s="85" t="s">
        <v>39</v>
      </c>
      <c r="D700" s="175">
        <v>-12.314749999999975</v>
      </c>
      <c r="F700" s="45">
        <v>350</v>
      </c>
      <c r="G700" s="45">
        <v>412</v>
      </c>
      <c r="H700" s="56">
        <v>-12.314749999999975</v>
      </c>
      <c r="I700" s="56">
        <v>-12.314749999999975</v>
      </c>
      <c r="J700" s="148">
        <v>0</v>
      </c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57"/>
      <c r="AE700" s="57"/>
      <c r="AF700" s="57"/>
      <c r="AG700" s="57"/>
      <c r="AH700" s="57"/>
      <c r="AI700" s="57"/>
      <c r="AJ700" s="57"/>
      <c r="AK700" s="57"/>
      <c r="AL700" s="57"/>
      <c r="AM700" s="57"/>
      <c r="AN700" s="57"/>
      <c r="AO700" s="57"/>
      <c r="AP700" s="57"/>
      <c r="AQ700" s="57"/>
      <c r="AR700" s="57"/>
      <c r="AS700" s="57"/>
      <c r="AT700" s="57"/>
      <c r="AU700" s="58">
        <f t="shared" si="10"/>
        <v>-12.314749999999975</v>
      </c>
      <c r="AV700" s="58"/>
    </row>
    <row r="701" spans="1:48" ht="13.5" customHeight="1">
      <c r="A701" s="82">
        <v>699</v>
      </c>
      <c r="B701" s="85">
        <v>440</v>
      </c>
      <c r="C701" s="85" t="s">
        <v>39</v>
      </c>
      <c r="D701" s="175">
        <v>52.926199999999994</v>
      </c>
      <c r="F701" s="45">
        <v>320</v>
      </c>
      <c r="G701" s="45">
        <v>109.18326</v>
      </c>
      <c r="H701" s="56">
        <v>52.926199999999994</v>
      </c>
      <c r="I701" s="56">
        <v>52.926199999999994</v>
      </c>
      <c r="J701" s="148">
        <v>0</v>
      </c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  <c r="AD701" s="57"/>
      <c r="AE701" s="57"/>
      <c r="AF701" s="57"/>
      <c r="AG701" s="57"/>
      <c r="AH701" s="57"/>
      <c r="AI701" s="57"/>
      <c r="AJ701" s="57"/>
      <c r="AK701" s="57"/>
      <c r="AL701" s="57"/>
      <c r="AM701" s="57"/>
      <c r="AN701" s="57"/>
      <c r="AO701" s="57"/>
      <c r="AP701" s="57"/>
      <c r="AQ701" s="57"/>
      <c r="AR701" s="57"/>
      <c r="AS701" s="57"/>
      <c r="AT701" s="57"/>
      <c r="AU701" s="58">
        <f t="shared" si="10"/>
        <v>52.926199999999994</v>
      </c>
      <c r="AV701" s="58"/>
    </row>
    <row r="702" spans="1:48" ht="13.5" customHeight="1">
      <c r="A702" s="84">
        <v>700</v>
      </c>
      <c r="B702" s="85">
        <v>444</v>
      </c>
      <c r="C702" s="85" t="s">
        <v>39</v>
      </c>
      <c r="D702" s="175">
        <v>-70.25</v>
      </c>
      <c r="F702" s="45">
        <v>400</v>
      </c>
      <c r="G702" s="45">
        <v>154.66968750000001</v>
      </c>
      <c r="H702" s="56">
        <v>129.75</v>
      </c>
      <c r="I702" s="56">
        <v>129.75</v>
      </c>
      <c r="J702" s="148">
        <v>0</v>
      </c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  <c r="AD702" s="57"/>
      <c r="AE702" s="57"/>
      <c r="AF702" s="57"/>
      <c r="AG702" s="57"/>
      <c r="AH702" s="57"/>
      <c r="AI702" s="57"/>
      <c r="AJ702" s="57"/>
      <c r="AK702" s="57">
        <v>100</v>
      </c>
      <c r="AL702" s="57"/>
      <c r="AM702" s="57"/>
      <c r="AN702" s="57">
        <v>100</v>
      </c>
      <c r="AO702" s="57"/>
      <c r="AP702" s="57"/>
      <c r="AQ702" s="57"/>
      <c r="AR702" s="57"/>
      <c r="AS702" s="57"/>
      <c r="AT702" s="57"/>
      <c r="AU702" s="58">
        <f t="shared" si="10"/>
        <v>-70.25</v>
      </c>
      <c r="AV702" s="58"/>
    </row>
    <row r="703" spans="1:48" ht="13.5" customHeight="1">
      <c r="A703" s="82">
        <v>701</v>
      </c>
      <c r="B703" s="85">
        <v>446</v>
      </c>
      <c r="C703" s="85" t="s">
        <v>39</v>
      </c>
      <c r="D703" s="175">
        <v>-186.47872000000007</v>
      </c>
      <c r="F703" s="45">
        <v>882</v>
      </c>
      <c r="G703" s="45">
        <v>913.34200000000021</v>
      </c>
      <c r="H703" s="56">
        <v>-116.47872000000007</v>
      </c>
      <c r="I703" s="56">
        <v>-116.47872000000007</v>
      </c>
      <c r="J703" s="148">
        <v>0</v>
      </c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>
        <v>70</v>
      </c>
      <c r="Y703" s="57"/>
      <c r="Z703" s="57"/>
      <c r="AA703" s="57"/>
      <c r="AB703" s="57"/>
      <c r="AC703" s="57"/>
      <c r="AD703" s="57"/>
      <c r="AE703" s="57"/>
      <c r="AF703" s="57"/>
      <c r="AG703" s="57"/>
      <c r="AH703" s="57"/>
      <c r="AI703" s="57"/>
      <c r="AJ703" s="57"/>
      <c r="AK703" s="57"/>
      <c r="AL703" s="57"/>
      <c r="AM703" s="57"/>
      <c r="AN703" s="57"/>
      <c r="AO703" s="57"/>
      <c r="AP703" s="57"/>
      <c r="AQ703" s="57"/>
      <c r="AR703" s="57"/>
      <c r="AS703" s="57"/>
      <c r="AT703" s="57"/>
      <c r="AU703" s="58">
        <f t="shared" si="10"/>
        <v>-186.47872000000007</v>
      </c>
      <c r="AV703" s="58"/>
    </row>
    <row r="704" spans="1:48" ht="13.5" customHeight="1">
      <c r="A704" s="84">
        <v>702</v>
      </c>
      <c r="B704" s="85">
        <v>448</v>
      </c>
      <c r="C704" s="85" t="s">
        <v>39</v>
      </c>
      <c r="D704" s="175">
        <v>-10.03630000000004</v>
      </c>
      <c r="F704" s="45">
        <v>882</v>
      </c>
      <c r="G704" s="45">
        <v>810.87479999999994</v>
      </c>
      <c r="H704" s="56">
        <v>-10.03630000000004</v>
      </c>
      <c r="I704" s="56">
        <v>-10.03630000000004</v>
      </c>
      <c r="J704" s="148">
        <v>0</v>
      </c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  <c r="AA704" s="57"/>
      <c r="AB704" s="57"/>
      <c r="AC704" s="57"/>
      <c r="AD704" s="57"/>
      <c r="AE704" s="57"/>
      <c r="AF704" s="57"/>
      <c r="AG704" s="57"/>
      <c r="AH704" s="57"/>
      <c r="AI704" s="57"/>
      <c r="AJ704" s="57"/>
      <c r="AK704" s="57"/>
      <c r="AL704" s="57"/>
      <c r="AM704" s="57"/>
      <c r="AN704" s="57"/>
      <c r="AO704" s="57"/>
      <c r="AP704" s="57"/>
      <c r="AQ704" s="57"/>
      <c r="AR704" s="57"/>
      <c r="AS704" s="57"/>
      <c r="AT704" s="57"/>
      <c r="AU704" s="58">
        <f t="shared" si="10"/>
        <v>-10.03630000000004</v>
      </c>
      <c r="AV704" s="58"/>
    </row>
    <row r="705" spans="1:48" ht="13.5" customHeight="1">
      <c r="A705" s="84">
        <v>703</v>
      </c>
      <c r="B705" s="85">
        <v>449</v>
      </c>
      <c r="C705" s="85" t="s">
        <v>39</v>
      </c>
      <c r="D705" s="175">
        <v>-30.439100000000053</v>
      </c>
      <c r="F705" s="45">
        <v>630</v>
      </c>
      <c r="G705" s="45">
        <v>235.96836000000002</v>
      </c>
      <c r="H705" s="56">
        <v>-30.439100000000053</v>
      </c>
      <c r="I705" s="56">
        <v>-30.439100000000053</v>
      </c>
      <c r="J705" s="148">
        <v>0</v>
      </c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  <c r="AA705" s="57"/>
      <c r="AB705" s="57"/>
      <c r="AC705" s="57"/>
      <c r="AD705" s="57"/>
      <c r="AE705" s="57"/>
      <c r="AF705" s="57"/>
      <c r="AG705" s="57"/>
      <c r="AH705" s="57"/>
      <c r="AI705" s="57"/>
      <c r="AJ705" s="57"/>
      <c r="AK705" s="57"/>
      <c r="AL705" s="57"/>
      <c r="AM705" s="57"/>
      <c r="AN705" s="57"/>
      <c r="AO705" s="57"/>
      <c r="AP705" s="57"/>
      <c r="AQ705" s="57"/>
      <c r="AR705" s="57"/>
      <c r="AS705" s="57"/>
      <c r="AT705" s="57"/>
      <c r="AU705" s="58">
        <f t="shared" si="10"/>
        <v>-30.439100000000053</v>
      </c>
      <c r="AV705" s="58"/>
    </row>
    <row r="706" spans="1:48" ht="13.5" customHeight="1">
      <c r="A706" s="82">
        <v>704</v>
      </c>
      <c r="B706" s="85">
        <v>452</v>
      </c>
      <c r="C706" s="85" t="s">
        <v>39</v>
      </c>
      <c r="D706" s="175">
        <v>134.84650000000005</v>
      </c>
      <c r="F706" s="45">
        <v>448</v>
      </c>
      <c r="G706" s="45">
        <v>528.29719999999998</v>
      </c>
      <c r="H706" s="56">
        <v>184.84650000000005</v>
      </c>
      <c r="I706" s="56">
        <v>184.84650000000005</v>
      </c>
      <c r="J706" s="148">
        <v>0</v>
      </c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  <c r="AA706" s="57"/>
      <c r="AB706" s="57"/>
      <c r="AC706" s="57"/>
      <c r="AD706" s="57"/>
      <c r="AE706" s="57"/>
      <c r="AF706" s="57"/>
      <c r="AG706" s="57"/>
      <c r="AH706" s="57"/>
      <c r="AI706" s="57"/>
      <c r="AJ706" s="57"/>
      <c r="AK706" s="57"/>
      <c r="AL706" s="57"/>
      <c r="AM706" s="57"/>
      <c r="AN706" s="57"/>
      <c r="AO706" s="57">
        <v>50</v>
      </c>
      <c r="AP706" s="57"/>
      <c r="AQ706" s="57"/>
      <c r="AR706" s="57"/>
      <c r="AS706" s="57"/>
      <c r="AT706" s="57"/>
      <c r="AU706" s="58">
        <f t="shared" si="10"/>
        <v>134.84650000000005</v>
      </c>
      <c r="AV706" s="58"/>
    </row>
    <row r="707" spans="1:48" ht="13.5" customHeight="1">
      <c r="A707" s="84">
        <v>705</v>
      </c>
      <c r="B707" s="85">
        <v>453</v>
      </c>
      <c r="C707" s="85" t="s">
        <v>39</v>
      </c>
      <c r="D707" s="175">
        <v>30.291503999999975</v>
      </c>
      <c r="F707" s="45">
        <v>224</v>
      </c>
      <c r="G707" s="45">
        <v>221.85</v>
      </c>
      <c r="H707" s="56">
        <v>30.291503999999975</v>
      </c>
      <c r="I707" s="56">
        <v>30.291503999999975</v>
      </c>
      <c r="J707" s="148">
        <v>0</v>
      </c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  <c r="AA707" s="57"/>
      <c r="AB707" s="57"/>
      <c r="AC707" s="57"/>
      <c r="AD707" s="57"/>
      <c r="AE707" s="57"/>
      <c r="AF707" s="57"/>
      <c r="AG707" s="57"/>
      <c r="AH707" s="57"/>
      <c r="AI707" s="57"/>
      <c r="AJ707" s="57"/>
      <c r="AK707" s="57"/>
      <c r="AL707" s="57"/>
      <c r="AM707" s="57"/>
      <c r="AN707" s="57"/>
      <c r="AO707" s="57"/>
      <c r="AP707" s="57"/>
      <c r="AQ707" s="57"/>
      <c r="AR707" s="57"/>
      <c r="AS707" s="57"/>
      <c r="AT707" s="57"/>
      <c r="AU707" s="58">
        <f t="shared" si="10"/>
        <v>30.291503999999975</v>
      </c>
      <c r="AV707" s="58"/>
    </row>
    <row r="708" spans="1:48" ht="13.5" customHeight="1">
      <c r="A708" s="82">
        <v>706</v>
      </c>
      <c r="B708" s="85">
        <v>454</v>
      </c>
      <c r="C708" s="85" t="s">
        <v>39</v>
      </c>
      <c r="D708" s="175">
        <v>10.53619999999998</v>
      </c>
      <c r="F708" s="45">
        <v>630</v>
      </c>
      <c r="G708" s="45">
        <v>248.27907999999999</v>
      </c>
      <c r="H708" s="56">
        <v>70.53619999999998</v>
      </c>
      <c r="I708" s="56">
        <v>70.53619999999998</v>
      </c>
      <c r="J708" s="148">
        <v>0</v>
      </c>
      <c r="K708" s="57"/>
      <c r="L708" s="57"/>
      <c r="M708" s="57"/>
      <c r="N708" s="57"/>
      <c r="O708" s="57">
        <v>60</v>
      </c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  <c r="AA708" s="57"/>
      <c r="AB708" s="57"/>
      <c r="AC708" s="57"/>
      <c r="AD708" s="57"/>
      <c r="AE708" s="57"/>
      <c r="AF708" s="57"/>
      <c r="AG708" s="57"/>
      <c r="AH708" s="57"/>
      <c r="AI708" s="57"/>
      <c r="AJ708" s="57"/>
      <c r="AK708" s="57"/>
      <c r="AL708" s="57"/>
      <c r="AM708" s="57"/>
      <c r="AN708" s="57"/>
      <c r="AO708" s="57"/>
      <c r="AP708" s="57"/>
      <c r="AQ708" s="57"/>
      <c r="AR708" s="57"/>
      <c r="AS708" s="57"/>
      <c r="AT708" s="57"/>
      <c r="AU708" s="58">
        <f t="shared" ref="AU708:AU771" si="11">I708-J708-K708-L708-M708-N708-O708-P708-Q708-R708-S708-T708-U708-V708-W708-X708-Y708-Z708-AA708-AB708-AC708-AD708-AE708-AF708-AG708-AH708-AI708-AJ708-AK708-AL708-AM708-AN708-AO708-AP708-AQ708-AR708-AS708-AT708</f>
        <v>10.53619999999998</v>
      </c>
      <c r="AV708" s="58"/>
    </row>
    <row r="709" spans="1:48" ht="13.5" customHeight="1">
      <c r="A709" s="84">
        <v>707</v>
      </c>
      <c r="B709" s="85">
        <v>455</v>
      </c>
      <c r="C709" s="85" t="s">
        <v>39</v>
      </c>
      <c r="D709" s="175">
        <v>-194.62816249999992</v>
      </c>
      <c r="F709" s="45">
        <v>882</v>
      </c>
      <c r="G709" s="45">
        <v>826.84789124999998</v>
      </c>
      <c r="H709" s="56">
        <v>15.371837500000083</v>
      </c>
      <c r="I709" s="56">
        <v>15.371837500000083</v>
      </c>
      <c r="J709" s="148">
        <v>0</v>
      </c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>
        <v>210</v>
      </c>
      <c r="X709" s="57"/>
      <c r="Y709" s="57"/>
      <c r="Z709" s="57"/>
      <c r="AA709" s="57"/>
      <c r="AB709" s="57"/>
      <c r="AC709" s="57"/>
      <c r="AD709" s="57"/>
      <c r="AE709" s="57"/>
      <c r="AF709" s="57"/>
      <c r="AG709" s="57"/>
      <c r="AH709" s="57"/>
      <c r="AI709" s="57"/>
      <c r="AJ709" s="57"/>
      <c r="AK709" s="57"/>
      <c r="AL709" s="57"/>
      <c r="AM709" s="57"/>
      <c r="AN709" s="57"/>
      <c r="AO709" s="57"/>
      <c r="AP709" s="57"/>
      <c r="AQ709" s="57"/>
      <c r="AR709" s="57"/>
      <c r="AS709" s="57"/>
      <c r="AT709" s="57"/>
      <c r="AU709" s="58">
        <f t="shared" si="11"/>
        <v>-194.62816249999992</v>
      </c>
      <c r="AV709" s="58"/>
    </row>
    <row r="710" spans="1:48" ht="13.5" customHeight="1">
      <c r="A710" s="84">
        <v>708</v>
      </c>
      <c r="B710" s="85">
        <v>462</v>
      </c>
      <c r="C710" s="85" t="s">
        <v>39</v>
      </c>
      <c r="D710" s="175">
        <v>58.861000000000018</v>
      </c>
      <c r="F710" s="45">
        <v>882</v>
      </c>
      <c r="G710" s="45">
        <v>725.17632000000003</v>
      </c>
      <c r="H710" s="56">
        <v>58.861000000000018</v>
      </c>
      <c r="I710" s="56">
        <v>58.861000000000018</v>
      </c>
      <c r="J710" s="148">
        <v>0</v>
      </c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  <c r="AA710" s="57"/>
      <c r="AB710" s="57"/>
      <c r="AC710" s="57"/>
      <c r="AD710" s="57"/>
      <c r="AE710" s="57"/>
      <c r="AF710" s="57"/>
      <c r="AG710" s="57"/>
      <c r="AH710" s="57"/>
      <c r="AI710" s="57"/>
      <c r="AJ710" s="57"/>
      <c r="AK710" s="57"/>
      <c r="AL710" s="57"/>
      <c r="AM710" s="57"/>
      <c r="AN710" s="57"/>
      <c r="AO710" s="57"/>
      <c r="AP710" s="57"/>
      <c r="AQ710" s="57"/>
      <c r="AR710" s="57"/>
      <c r="AS710" s="57"/>
      <c r="AT710" s="57"/>
      <c r="AU710" s="58">
        <f t="shared" si="11"/>
        <v>58.861000000000018</v>
      </c>
      <c r="AV710" s="58"/>
    </row>
    <row r="711" spans="1:48" ht="13.5" customHeight="1">
      <c r="A711" s="82">
        <v>709</v>
      </c>
      <c r="B711" s="85">
        <v>465</v>
      </c>
      <c r="C711" s="85" t="s">
        <v>39</v>
      </c>
      <c r="D711" s="175">
        <v>-135.64999999999998</v>
      </c>
      <c r="H711" s="56"/>
      <c r="I711" s="56">
        <v>350</v>
      </c>
      <c r="J711" s="148">
        <v>295.64999999999998</v>
      </c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  <c r="AA711" s="57"/>
      <c r="AB711" s="57"/>
      <c r="AC711" s="57"/>
      <c r="AD711" s="57"/>
      <c r="AE711" s="57"/>
      <c r="AF711" s="57"/>
      <c r="AG711" s="57"/>
      <c r="AH711" s="57"/>
      <c r="AI711" s="57"/>
      <c r="AJ711" s="57"/>
      <c r="AK711" s="57"/>
      <c r="AL711" s="57"/>
      <c r="AM711" s="57"/>
      <c r="AN711" s="57"/>
      <c r="AO711" s="57">
        <v>190</v>
      </c>
      <c r="AP711" s="57"/>
      <c r="AQ711" s="57"/>
      <c r="AR711" s="57"/>
      <c r="AS711" s="57"/>
      <c r="AT711" s="57"/>
      <c r="AU711" s="58">
        <f t="shared" si="11"/>
        <v>-135.64999999999998</v>
      </c>
      <c r="AV711" s="58"/>
    </row>
    <row r="712" spans="1:48" ht="13.5" customHeight="1">
      <c r="A712" s="84">
        <v>710</v>
      </c>
      <c r="B712" s="85">
        <v>466</v>
      </c>
      <c r="C712" s="85" t="s">
        <v>39</v>
      </c>
      <c r="D712" s="175">
        <v>-47.728000000000065</v>
      </c>
      <c r="F712" s="45">
        <v>882</v>
      </c>
      <c r="G712" s="45">
        <v>559.87066500000003</v>
      </c>
      <c r="H712" s="56">
        <v>-27.728000000000065</v>
      </c>
      <c r="I712" s="56">
        <v>-27.728000000000065</v>
      </c>
      <c r="J712" s="148">
        <v>0</v>
      </c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  <c r="AA712" s="57">
        <v>20</v>
      </c>
      <c r="AB712" s="57"/>
      <c r="AC712" s="57"/>
      <c r="AD712" s="57"/>
      <c r="AE712" s="57"/>
      <c r="AF712" s="57"/>
      <c r="AG712" s="57"/>
      <c r="AH712" s="57"/>
      <c r="AI712" s="57"/>
      <c r="AJ712" s="57"/>
      <c r="AK712" s="57"/>
      <c r="AL712" s="57"/>
      <c r="AM712" s="57"/>
      <c r="AN712" s="57"/>
      <c r="AO712" s="57"/>
      <c r="AP712" s="57"/>
      <c r="AQ712" s="57"/>
      <c r="AR712" s="57"/>
      <c r="AS712" s="57"/>
      <c r="AT712" s="57"/>
      <c r="AU712" s="58">
        <f t="shared" si="11"/>
        <v>-47.728000000000065</v>
      </c>
      <c r="AV712" s="58"/>
    </row>
    <row r="713" spans="1:48" ht="13.5" customHeight="1">
      <c r="A713" s="82">
        <v>711</v>
      </c>
      <c r="B713" s="85">
        <v>468</v>
      </c>
      <c r="C713" s="85" t="s">
        <v>39</v>
      </c>
      <c r="D713" s="175">
        <v>-394</v>
      </c>
      <c r="F713" s="45">
        <v>882</v>
      </c>
      <c r="G713" s="45">
        <v>645.47714250000001</v>
      </c>
      <c r="H713" s="56">
        <v>-71</v>
      </c>
      <c r="I713" s="56">
        <v>-71</v>
      </c>
      <c r="J713" s="148">
        <v>0</v>
      </c>
      <c r="K713" s="57"/>
      <c r="L713" s="57"/>
      <c r="M713" s="57"/>
      <c r="N713" s="57"/>
      <c r="O713" s="57"/>
      <c r="P713" s="57"/>
      <c r="Q713" s="57"/>
      <c r="R713" s="57"/>
      <c r="S713" s="57">
        <v>112</v>
      </c>
      <c r="T713" s="57"/>
      <c r="U713" s="57"/>
      <c r="V713" s="57"/>
      <c r="W713" s="57"/>
      <c r="X713" s="57"/>
      <c r="Y713" s="57">
        <v>60</v>
      </c>
      <c r="Z713" s="57"/>
      <c r="AA713" s="57"/>
      <c r="AB713" s="57"/>
      <c r="AC713" s="57"/>
      <c r="AD713" s="57"/>
      <c r="AE713" s="57"/>
      <c r="AF713" s="57"/>
      <c r="AG713" s="57"/>
      <c r="AH713" s="57"/>
      <c r="AI713" s="57"/>
      <c r="AJ713" s="57"/>
      <c r="AK713" s="57">
        <v>151</v>
      </c>
      <c r="AL713" s="57"/>
      <c r="AM713" s="57"/>
      <c r="AN713" s="57"/>
      <c r="AO713" s="57"/>
      <c r="AP713" s="57"/>
      <c r="AQ713" s="57"/>
      <c r="AR713" s="57"/>
      <c r="AS713" s="57"/>
      <c r="AT713" s="57"/>
      <c r="AU713" s="58">
        <f t="shared" si="11"/>
        <v>-394</v>
      </c>
      <c r="AV713" s="58"/>
    </row>
    <row r="714" spans="1:48" ht="13.5" customHeight="1">
      <c r="A714" s="84">
        <v>712</v>
      </c>
      <c r="B714" s="85">
        <v>469</v>
      </c>
      <c r="C714" s="85" t="s">
        <v>39</v>
      </c>
      <c r="D714" s="175">
        <v>-54</v>
      </c>
      <c r="F714" s="45">
        <v>560</v>
      </c>
      <c r="G714" s="45">
        <v>504.64292</v>
      </c>
      <c r="H714" s="56">
        <v>-54</v>
      </c>
      <c r="I714" s="56">
        <v>-54</v>
      </c>
      <c r="J714" s="148">
        <v>0</v>
      </c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  <c r="AD714" s="57"/>
      <c r="AE714" s="57"/>
      <c r="AF714" s="57"/>
      <c r="AG714" s="57"/>
      <c r="AH714" s="57"/>
      <c r="AI714" s="57"/>
      <c r="AJ714" s="57"/>
      <c r="AK714" s="57"/>
      <c r="AL714" s="57"/>
      <c r="AM714" s="57"/>
      <c r="AN714" s="57"/>
      <c r="AO714" s="57"/>
      <c r="AP714" s="57"/>
      <c r="AQ714" s="57"/>
      <c r="AR714" s="57"/>
      <c r="AS714" s="57"/>
      <c r="AT714" s="57"/>
      <c r="AU714" s="58">
        <f t="shared" si="11"/>
        <v>-54</v>
      </c>
      <c r="AV714" s="58"/>
    </row>
    <row r="715" spans="1:48" ht="13.5" customHeight="1">
      <c r="A715" s="84">
        <v>713</v>
      </c>
      <c r="B715" s="85">
        <v>478</v>
      </c>
      <c r="C715" s="85" t="s">
        <v>39</v>
      </c>
      <c r="D715" s="175">
        <v>-14.200000000000045</v>
      </c>
      <c r="F715" s="45">
        <v>882</v>
      </c>
      <c r="G715" s="45">
        <v>636.86958000000004</v>
      </c>
      <c r="H715" s="56">
        <v>-14.200000000000045</v>
      </c>
      <c r="I715" s="56">
        <v>-14.200000000000045</v>
      </c>
      <c r="J715" s="148">
        <v>0</v>
      </c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/>
      <c r="AC715" s="57"/>
      <c r="AD715" s="57"/>
      <c r="AE715" s="57"/>
      <c r="AF715" s="57"/>
      <c r="AG715" s="57"/>
      <c r="AH715" s="57"/>
      <c r="AI715" s="57"/>
      <c r="AJ715" s="57"/>
      <c r="AK715" s="57"/>
      <c r="AL715" s="57"/>
      <c r="AM715" s="57"/>
      <c r="AN715" s="57"/>
      <c r="AO715" s="57"/>
      <c r="AP715" s="57"/>
      <c r="AQ715" s="57"/>
      <c r="AR715" s="57"/>
      <c r="AS715" s="57"/>
      <c r="AT715" s="57"/>
      <c r="AU715" s="58">
        <f t="shared" si="11"/>
        <v>-14.200000000000045</v>
      </c>
      <c r="AV715" s="58"/>
    </row>
    <row r="716" spans="1:48" ht="13.5" customHeight="1">
      <c r="A716" s="82">
        <v>714</v>
      </c>
      <c r="B716" s="85">
        <v>482</v>
      </c>
      <c r="C716" s="85" t="s">
        <v>39</v>
      </c>
      <c r="D716" s="175">
        <v>141.10105000000004</v>
      </c>
      <c r="F716" s="45">
        <v>224</v>
      </c>
      <c r="G716" s="45">
        <v>121.97399999999999</v>
      </c>
      <c r="H716" s="56">
        <v>141.10105000000004</v>
      </c>
      <c r="I716" s="56">
        <v>141.10105000000004</v>
      </c>
      <c r="J716" s="148">
        <v>0</v>
      </c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  <c r="AD716" s="57"/>
      <c r="AE716" s="57"/>
      <c r="AF716" s="57"/>
      <c r="AG716" s="57"/>
      <c r="AH716" s="57"/>
      <c r="AI716" s="57"/>
      <c r="AJ716" s="57"/>
      <c r="AK716" s="57"/>
      <c r="AL716" s="57"/>
      <c r="AM716" s="57"/>
      <c r="AN716" s="57"/>
      <c r="AO716" s="57"/>
      <c r="AP716" s="57"/>
      <c r="AQ716" s="57"/>
      <c r="AR716" s="57"/>
      <c r="AS716" s="57"/>
      <c r="AT716" s="57"/>
      <c r="AU716" s="58">
        <f t="shared" si="11"/>
        <v>141.10105000000004</v>
      </c>
      <c r="AV716" s="58"/>
    </row>
    <row r="717" spans="1:48" ht="13.5" customHeight="1">
      <c r="A717" s="84">
        <v>715</v>
      </c>
      <c r="B717" s="85">
        <v>484</v>
      </c>
      <c r="C717" s="85" t="s">
        <v>39</v>
      </c>
      <c r="D717" s="175">
        <v>-96.350599999999986</v>
      </c>
      <c r="F717" s="45">
        <v>882</v>
      </c>
      <c r="G717" s="45">
        <v>903.87639999999999</v>
      </c>
      <c r="H717" s="56">
        <v>-96.350599999999986</v>
      </c>
      <c r="I717" s="56">
        <v>-96.350599999999986</v>
      </c>
      <c r="J717" s="148">
        <v>0</v>
      </c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  <c r="AA717" s="57"/>
      <c r="AB717" s="57"/>
      <c r="AC717" s="57"/>
      <c r="AD717" s="57"/>
      <c r="AE717" s="57"/>
      <c r="AF717" s="57"/>
      <c r="AG717" s="57"/>
      <c r="AH717" s="57"/>
      <c r="AI717" s="57"/>
      <c r="AJ717" s="57"/>
      <c r="AK717" s="57"/>
      <c r="AL717" s="57"/>
      <c r="AM717" s="57"/>
      <c r="AN717" s="57"/>
      <c r="AO717" s="57"/>
      <c r="AP717" s="57"/>
      <c r="AQ717" s="57"/>
      <c r="AR717" s="57"/>
      <c r="AS717" s="57"/>
      <c r="AT717" s="57"/>
      <c r="AU717" s="58">
        <f t="shared" si="11"/>
        <v>-96.350599999999986</v>
      </c>
      <c r="AV717" s="58"/>
    </row>
    <row r="718" spans="1:48" ht="13.5" customHeight="1">
      <c r="A718" s="82">
        <v>716</v>
      </c>
      <c r="B718" s="85">
        <v>486</v>
      </c>
      <c r="C718" s="85" t="s">
        <v>39</v>
      </c>
      <c r="D718" s="175">
        <v>-142.06049999999999</v>
      </c>
      <c r="F718" s="45">
        <v>882</v>
      </c>
      <c r="G718" s="45">
        <v>782.39099999999996</v>
      </c>
      <c r="H718" s="56">
        <v>207.61950000000002</v>
      </c>
      <c r="I718" s="56">
        <v>207.61950000000002</v>
      </c>
      <c r="J718" s="148">
        <v>0</v>
      </c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>
        <v>120</v>
      </c>
      <c r="V718" s="57"/>
      <c r="W718" s="57"/>
      <c r="X718" s="57"/>
      <c r="Y718" s="57"/>
      <c r="Z718" s="57"/>
      <c r="AA718" s="57"/>
      <c r="AB718" s="57"/>
      <c r="AC718" s="57">
        <v>209.68</v>
      </c>
      <c r="AD718" s="57"/>
      <c r="AE718" s="57"/>
      <c r="AF718" s="57"/>
      <c r="AG718" s="57">
        <v>20</v>
      </c>
      <c r="AH718" s="57"/>
      <c r="AI718" s="57"/>
      <c r="AJ718" s="57"/>
      <c r="AK718" s="57"/>
      <c r="AL718" s="57"/>
      <c r="AM718" s="57"/>
      <c r="AN718" s="57"/>
      <c r="AO718" s="57"/>
      <c r="AP718" s="57"/>
      <c r="AQ718" s="57"/>
      <c r="AR718" s="57"/>
      <c r="AS718" s="57"/>
      <c r="AT718" s="57"/>
      <c r="AU718" s="58">
        <f t="shared" si="11"/>
        <v>-142.06049999999999</v>
      </c>
      <c r="AV718" s="58"/>
    </row>
    <row r="719" spans="1:48" ht="13.5" customHeight="1">
      <c r="A719" s="84">
        <v>717</v>
      </c>
      <c r="B719" s="85">
        <v>492</v>
      </c>
      <c r="C719" s="85" t="s">
        <v>39</v>
      </c>
      <c r="D719" s="175">
        <v>-52</v>
      </c>
      <c r="H719" s="56"/>
      <c r="I719" s="56">
        <v>504</v>
      </c>
      <c r="J719" s="148">
        <v>306</v>
      </c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  <c r="AA719" s="57">
        <v>100</v>
      </c>
      <c r="AB719" s="57">
        <v>30</v>
      </c>
      <c r="AC719" s="57"/>
      <c r="AD719" s="57"/>
      <c r="AE719" s="57"/>
      <c r="AF719" s="57"/>
      <c r="AG719" s="57"/>
      <c r="AH719" s="57"/>
      <c r="AI719" s="57"/>
      <c r="AJ719" s="57"/>
      <c r="AK719" s="57"/>
      <c r="AL719" s="57">
        <v>120</v>
      </c>
      <c r="AM719" s="57"/>
      <c r="AN719" s="57"/>
      <c r="AO719" s="57"/>
      <c r="AP719" s="57"/>
      <c r="AQ719" s="57"/>
      <c r="AR719" s="57"/>
      <c r="AS719" s="57"/>
      <c r="AT719" s="57"/>
      <c r="AU719" s="58">
        <f t="shared" si="11"/>
        <v>-52</v>
      </c>
      <c r="AV719" s="58"/>
    </row>
    <row r="720" spans="1:48" ht="13.5" customHeight="1">
      <c r="A720" s="84">
        <v>718</v>
      </c>
      <c r="B720" s="85">
        <v>496</v>
      </c>
      <c r="C720" s="85" t="s">
        <v>39</v>
      </c>
      <c r="D720" s="175">
        <v>204.08321000000001</v>
      </c>
      <c r="F720" s="45">
        <v>350</v>
      </c>
      <c r="G720" s="45">
        <v>391.5</v>
      </c>
      <c r="H720" s="56">
        <v>204.08321000000001</v>
      </c>
      <c r="I720" s="56">
        <v>204.08321000000001</v>
      </c>
      <c r="J720" s="148">
        <v>0</v>
      </c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  <c r="AA720" s="57"/>
      <c r="AB720" s="57"/>
      <c r="AC720" s="57"/>
      <c r="AD720" s="57"/>
      <c r="AE720" s="57"/>
      <c r="AF720" s="57"/>
      <c r="AG720" s="57"/>
      <c r="AH720" s="57"/>
      <c r="AI720" s="57"/>
      <c r="AJ720" s="57"/>
      <c r="AK720" s="57"/>
      <c r="AL720" s="57"/>
      <c r="AM720" s="57"/>
      <c r="AN720" s="57"/>
      <c r="AO720" s="57"/>
      <c r="AP720" s="57"/>
      <c r="AQ720" s="57"/>
      <c r="AR720" s="57"/>
      <c r="AS720" s="57"/>
      <c r="AT720" s="57"/>
      <c r="AU720" s="58">
        <f t="shared" si="11"/>
        <v>204.08321000000001</v>
      </c>
      <c r="AV720" s="58"/>
    </row>
    <row r="721" spans="1:48" ht="13.5" customHeight="1">
      <c r="A721" s="82">
        <v>719</v>
      </c>
      <c r="B721" s="85">
        <v>498</v>
      </c>
      <c r="C721" s="85" t="s">
        <v>39</v>
      </c>
      <c r="D721" s="175">
        <v>47.289999999999992</v>
      </c>
      <c r="F721" s="45">
        <v>882</v>
      </c>
      <c r="G721" s="45">
        <v>920.80790000000025</v>
      </c>
      <c r="H721" s="56">
        <v>47.289999999999992</v>
      </c>
      <c r="I721" s="56">
        <v>47.289999999999992</v>
      </c>
      <c r="J721" s="148">
        <v>0</v>
      </c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  <c r="AA721" s="57"/>
      <c r="AB721" s="57"/>
      <c r="AC721" s="57"/>
      <c r="AD721" s="57"/>
      <c r="AE721" s="57"/>
      <c r="AF721" s="57"/>
      <c r="AG721" s="57"/>
      <c r="AH721" s="57"/>
      <c r="AI721" s="57"/>
      <c r="AJ721" s="57"/>
      <c r="AK721" s="57"/>
      <c r="AL721" s="57"/>
      <c r="AM721" s="57"/>
      <c r="AN721" s="57"/>
      <c r="AO721" s="57"/>
      <c r="AP721" s="57"/>
      <c r="AQ721" s="57"/>
      <c r="AR721" s="57"/>
      <c r="AS721" s="57"/>
      <c r="AT721" s="57"/>
      <c r="AU721" s="58">
        <f t="shared" si="11"/>
        <v>47.289999999999992</v>
      </c>
      <c r="AV721" s="58"/>
    </row>
    <row r="722" spans="1:48" ht="13.5" customHeight="1">
      <c r="A722" s="84">
        <v>720</v>
      </c>
      <c r="B722" s="85">
        <v>502</v>
      </c>
      <c r="C722" s="85" t="s">
        <v>39</v>
      </c>
      <c r="D722" s="175">
        <v>181.56739999999996</v>
      </c>
      <c r="F722" s="45">
        <v>882</v>
      </c>
      <c r="G722" s="45">
        <v>839.63787000000002</v>
      </c>
      <c r="H722" s="56">
        <v>181.56739999999996</v>
      </c>
      <c r="I722" s="56">
        <v>181.56739999999996</v>
      </c>
      <c r="J722" s="148">
        <v>0</v>
      </c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  <c r="AA722" s="57"/>
      <c r="AB722" s="57"/>
      <c r="AC722" s="57"/>
      <c r="AD722" s="57"/>
      <c r="AE722" s="57"/>
      <c r="AF722" s="57"/>
      <c r="AG722" s="57"/>
      <c r="AH722" s="57"/>
      <c r="AI722" s="57"/>
      <c r="AJ722" s="57"/>
      <c r="AK722" s="57"/>
      <c r="AL722" s="57"/>
      <c r="AM722" s="57"/>
      <c r="AN722" s="57"/>
      <c r="AO722" s="57"/>
      <c r="AP722" s="57"/>
      <c r="AQ722" s="57"/>
      <c r="AR722" s="57"/>
      <c r="AS722" s="57"/>
      <c r="AT722" s="57"/>
      <c r="AU722" s="58">
        <f t="shared" si="11"/>
        <v>181.56739999999996</v>
      </c>
      <c r="AV722" s="58"/>
    </row>
    <row r="723" spans="1:48" ht="13.5" customHeight="1">
      <c r="A723" s="82">
        <v>721</v>
      </c>
      <c r="B723" s="85">
        <v>503</v>
      </c>
      <c r="C723" s="85" t="s">
        <v>39</v>
      </c>
      <c r="D723" s="175">
        <v>-91.885800000000017</v>
      </c>
      <c r="F723" s="45">
        <v>882</v>
      </c>
      <c r="G723" s="45">
        <v>930.74764125000002</v>
      </c>
      <c r="H723" s="56">
        <v>-11.885800000000017</v>
      </c>
      <c r="I723" s="56">
        <v>-11.885800000000017</v>
      </c>
      <c r="J723" s="148">
        <v>0</v>
      </c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  <c r="AA723" s="57"/>
      <c r="AB723" s="57"/>
      <c r="AC723" s="57"/>
      <c r="AD723" s="57"/>
      <c r="AE723" s="57"/>
      <c r="AF723" s="57"/>
      <c r="AG723" s="57"/>
      <c r="AH723" s="57"/>
      <c r="AI723" s="57"/>
      <c r="AJ723" s="57"/>
      <c r="AK723" s="57"/>
      <c r="AL723" s="57"/>
      <c r="AM723" s="57"/>
      <c r="AN723" s="57"/>
      <c r="AO723" s="57"/>
      <c r="AP723" s="57"/>
      <c r="AQ723" s="57"/>
      <c r="AR723" s="57"/>
      <c r="AS723" s="57">
        <v>80</v>
      </c>
      <c r="AT723" s="57"/>
      <c r="AU723" s="58">
        <f t="shared" si="11"/>
        <v>-91.885800000000017</v>
      </c>
      <c r="AV723" s="58"/>
    </row>
    <row r="724" spans="1:48" ht="13.5" customHeight="1">
      <c r="A724" s="84">
        <v>722</v>
      </c>
      <c r="B724" s="85">
        <v>504</v>
      </c>
      <c r="C724" s="85" t="s">
        <v>39</v>
      </c>
      <c r="D724" s="175">
        <v>-34.180100000000039</v>
      </c>
      <c r="F724" s="45">
        <v>882</v>
      </c>
      <c r="G724" s="45">
        <v>619.57920000000001</v>
      </c>
      <c r="H724" s="56">
        <v>-34.180100000000039</v>
      </c>
      <c r="I724" s="56">
        <v>-34.180100000000039</v>
      </c>
      <c r="J724" s="148">
        <v>0</v>
      </c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  <c r="AA724" s="57"/>
      <c r="AB724" s="57"/>
      <c r="AC724" s="57"/>
      <c r="AD724" s="57"/>
      <c r="AE724" s="57"/>
      <c r="AF724" s="57"/>
      <c r="AG724" s="57"/>
      <c r="AH724" s="57"/>
      <c r="AI724" s="57"/>
      <c r="AJ724" s="57"/>
      <c r="AK724" s="57"/>
      <c r="AL724" s="57"/>
      <c r="AM724" s="57"/>
      <c r="AN724" s="57"/>
      <c r="AO724" s="57"/>
      <c r="AP724" s="57"/>
      <c r="AQ724" s="57"/>
      <c r="AR724" s="57"/>
      <c r="AS724" s="57"/>
      <c r="AT724" s="57"/>
      <c r="AU724" s="58">
        <f t="shared" si="11"/>
        <v>-34.180100000000039</v>
      </c>
      <c r="AV724" s="58"/>
    </row>
    <row r="725" spans="1:48" ht="13.5" customHeight="1">
      <c r="A725" s="84">
        <v>723</v>
      </c>
      <c r="B725" s="85">
        <v>505</v>
      </c>
      <c r="C725" s="85" t="s">
        <v>39</v>
      </c>
      <c r="D725" s="175">
        <v>-70.582900000000052</v>
      </c>
      <c r="F725" s="45">
        <v>882</v>
      </c>
      <c r="G725" s="45">
        <v>284.2</v>
      </c>
      <c r="H725" s="56">
        <v>74.417099999999948</v>
      </c>
      <c r="I725" s="56">
        <v>74.417099999999948</v>
      </c>
      <c r="J725" s="148">
        <v>0</v>
      </c>
      <c r="K725" s="57"/>
      <c r="L725" s="57">
        <v>35</v>
      </c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>
        <v>50</v>
      </c>
      <c r="Z725" s="57"/>
      <c r="AA725" s="57"/>
      <c r="AB725" s="57"/>
      <c r="AC725" s="57"/>
      <c r="AD725" s="57"/>
      <c r="AE725" s="57"/>
      <c r="AF725" s="57"/>
      <c r="AG725" s="57">
        <v>30</v>
      </c>
      <c r="AH725" s="57"/>
      <c r="AI725" s="57"/>
      <c r="AJ725" s="57"/>
      <c r="AK725" s="57">
        <v>30</v>
      </c>
      <c r="AL725" s="57"/>
      <c r="AM725" s="57"/>
      <c r="AN725" s="57"/>
      <c r="AO725" s="57"/>
      <c r="AP725" s="57"/>
      <c r="AQ725" s="57"/>
      <c r="AR725" s="57"/>
      <c r="AS725" s="57"/>
      <c r="AT725" s="57"/>
      <c r="AU725" s="58">
        <f t="shared" si="11"/>
        <v>-70.582900000000052</v>
      </c>
      <c r="AV725" s="58"/>
    </row>
    <row r="726" spans="1:48" ht="13.5" customHeight="1">
      <c r="A726" s="82">
        <v>724</v>
      </c>
      <c r="B726" s="85">
        <v>506</v>
      </c>
      <c r="C726" s="85" t="s">
        <v>39</v>
      </c>
      <c r="D726" s="175">
        <v>8.9141600000000381</v>
      </c>
      <c r="F726" s="45">
        <v>560</v>
      </c>
      <c r="G726" s="45">
        <v>593.10205499999995</v>
      </c>
      <c r="H726" s="56">
        <v>8.9141600000000381</v>
      </c>
      <c r="I726" s="56">
        <v>8.9141600000000381</v>
      </c>
      <c r="J726" s="148">
        <v>0</v>
      </c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  <c r="AA726" s="57"/>
      <c r="AB726" s="57"/>
      <c r="AC726" s="57"/>
      <c r="AD726" s="57"/>
      <c r="AE726" s="57"/>
      <c r="AF726" s="57"/>
      <c r="AG726" s="57"/>
      <c r="AH726" s="57"/>
      <c r="AI726" s="57"/>
      <c r="AJ726" s="57"/>
      <c r="AK726" s="57"/>
      <c r="AL726" s="57"/>
      <c r="AM726" s="57"/>
      <c r="AN726" s="57"/>
      <c r="AO726" s="57"/>
      <c r="AP726" s="57"/>
      <c r="AQ726" s="57"/>
      <c r="AR726" s="57"/>
      <c r="AS726" s="57"/>
      <c r="AT726" s="57"/>
      <c r="AU726" s="58">
        <f t="shared" si="11"/>
        <v>8.9141600000000381</v>
      </c>
      <c r="AV726" s="58"/>
    </row>
    <row r="727" spans="1:48" ht="13.5" customHeight="1">
      <c r="A727" s="84">
        <v>725</v>
      </c>
      <c r="B727" s="85">
        <v>510</v>
      </c>
      <c r="C727" s="85" t="s">
        <v>39</v>
      </c>
      <c r="D727" s="175">
        <v>-287.86432000000002</v>
      </c>
      <c r="F727" s="45">
        <v>560</v>
      </c>
      <c r="G727" s="45">
        <v>585.25987499999997</v>
      </c>
      <c r="H727" s="56">
        <v>62.135680000000008</v>
      </c>
      <c r="I727" s="56">
        <v>62.135680000000008</v>
      </c>
      <c r="J727" s="148">
        <v>0</v>
      </c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  <c r="AA727" s="57"/>
      <c r="AB727" s="57"/>
      <c r="AC727" s="57"/>
      <c r="AD727" s="57"/>
      <c r="AE727" s="57"/>
      <c r="AF727" s="57"/>
      <c r="AG727" s="57"/>
      <c r="AH727" s="57"/>
      <c r="AI727" s="57"/>
      <c r="AJ727" s="57"/>
      <c r="AK727" s="57"/>
      <c r="AL727" s="57">
        <v>350</v>
      </c>
      <c r="AM727" s="57"/>
      <c r="AN727" s="57"/>
      <c r="AO727" s="57"/>
      <c r="AP727" s="57"/>
      <c r="AQ727" s="57"/>
      <c r="AR727" s="57"/>
      <c r="AS727" s="57"/>
      <c r="AT727" s="57"/>
      <c r="AU727" s="58">
        <f t="shared" si="11"/>
        <v>-287.86432000000002</v>
      </c>
      <c r="AV727" s="58"/>
    </row>
    <row r="728" spans="1:48" ht="13.5" customHeight="1">
      <c r="A728" s="82">
        <v>726</v>
      </c>
      <c r="B728" s="85">
        <v>516</v>
      </c>
      <c r="C728" s="85" t="s">
        <v>39</v>
      </c>
      <c r="D728" s="175">
        <v>-2.5066120000000183</v>
      </c>
      <c r="F728" s="45">
        <v>882</v>
      </c>
      <c r="G728" s="45">
        <v>865.27916249999998</v>
      </c>
      <c r="H728" s="56">
        <v>32.493387999999982</v>
      </c>
      <c r="I728" s="56">
        <v>32.493387999999982</v>
      </c>
      <c r="J728" s="148">
        <v>0</v>
      </c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  <c r="AA728" s="57"/>
      <c r="AB728" s="57"/>
      <c r="AC728" s="57"/>
      <c r="AD728" s="57"/>
      <c r="AE728" s="57"/>
      <c r="AF728" s="57"/>
      <c r="AG728" s="57"/>
      <c r="AH728" s="57"/>
      <c r="AI728" s="57"/>
      <c r="AJ728" s="57"/>
      <c r="AK728" s="57"/>
      <c r="AL728" s="57">
        <v>35</v>
      </c>
      <c r="AM728" s="57"/>
      <c r="AN728" s="57"/>
      <c r="AO728" s="57"/>
      <c r="AP728" s="57"/>
      <c r="AQ728" s="57"/>
      <c r="AR728" s="57"/>
      <c r="AS728" s="57"/>
      <c r="AT728" s="57"/>
      <c r="AU728" s="58">
        <f t="shared" si="11"/>
        <v>-2.5066120000000183</v>
      </c>
      <c r="AV728" s="58"/>
    </row>
    <row r="729" spans="1:48" ht="13.5" customHeight="1">
      <c r="A729" s="84">
        <v>727</v>
      </c>
      <c r="B729" s="85">
        <v>518</v>
      </c>
      <c r="C729" s="85" t="s">
        <v>39</v>
      </c>
      <c r="D729" s="175">
        <v>-364.93135000000007</v>
      </c>
      <c r="F729" s="45">
        <v>560</v>
      </c>
      <c r="G729" s="45">
        <v>616.30880000000002</v>
      </c>
      <c r="H729" s="56">
        <v>10.068649999999934</v>
      </c>
      <c r="I729" s="56">
        <v>10.068649999999934</v>
      </c>
      <c r="J729" s="148">
        <v>0</v>
      </c>
      <c r="K729" s="57"/>
      <c r="L729" s="57"/>
      <c r="M729" s="57"/>
      <c r="N729" s="57"/>
      <c r="O729" s="57"/>
      <c r="P729" s="57"/>
      <c r="Q729" s="57">
        <v>50</v>
      </c>
      <c r="R729" s="57"/>
      <c r="S729" s="57"/>
      <c r="T729" s="57"/>
      <c r="U729" s="57">
        <v>225</v>
      </c>
      <c r="V729" s="57"/>
      <c r="W729" s="57"/>
      <c r="X729" s="57"/>
      <c r="Y729" s="57"/>
      <c r="Z729" s="57"/>
      <c r="AA729" s="57"/>
      <c r="AB729" s="57"/>
      <c r="AC729" s="57"/>
      <c r="AD729" s="57">
        <v>100</v>
      </c>
      <c r="AE729" s="57"/>
      <c r="AF729" s="57"/>
      <c r="AG729" s="57"/>
      <c r="AH729" s="57"/>
      <c r="AI729" s="57"/>
      <c r="AJ729" s="57"/>
      <c r="AK729" s="57"/>
      <c r="AL729" s="57"/>
      <c r="AM729" s="57"/>
      <c r="AN729" s="57"/>
      <c r="AO729" s="57"/>
      <c r="AP729" s="57"/>
      <c r="AQ729" s="57"/>
      <c r="AR729" s="57"/>
      <c r="AS729" s="57"/>
      <c r="AT729" s="57"/>
      <c r="AU729" s="58">
        <f t="shared" si="11"/>
        <v>-364.93135000000007</v>
      </c>
      <c r="AV729" s="58"/>
    </row>
    <row r="730" spans="1:48" ht="13.5" customHeight="1">
      <c r="A730" s="84">
        <v>728</v>
      </c>
      <c r="B730" s="85">
        <v>519</v>
      </c>
      <c r="C730" s="85" t="s">
        <v>39</v>
      </c>
      <c r="D730" s="175">
        <v>108.69724150000002</v>
      </c>
      <c r="F730" s="45">
        <v>882</v>
      </c>
      <c r="G730" s="45">
        <v>752.05757999999992</v>
      </c>
      <c r="H730" s="56">
        <v>108.69724150000002</v>
      </c>
      <c r="I730" s="56">
        <v>108.69724150000002</v>
      </c>
      <c r="J730" s="148">
        <v>0</v>
      </c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  <c r="AA730" s="57"/>
      <c r="AB730" s="57"/>
      <c r="AC730" s="57"/>
      <c r="AD730" s="57"/>
      <c r="AE730" s="57"/>
      <c r="AF730" s="57"/>
      <c r="AG730" s="57"/>
      <c r="AH730" s="57"/>
      <c r="AI730" s="57"/>
      <c r="AJ730" s="57"/>
      <c r="AK730" s="57"/>
      <c r="AL730" s="57"/>
      <c r="AM730" s="57"/>
      <c r="AN730" s="57"/>
      <c r="AO730" s="57"/>
      <c r="AP730" s="57"/>
      <c r="AQ730" s="57"/>
      <c r="AR730" s="57"/>
      <c r="AS730" s="57"/>
      <c r="AT730" s="57"/>
      <c r="AU730" s="58">
        <f t="shared" si="11"/>
        <v>108.69724150000002</v>
      </c>
      <c r="AV730" s="58"/>
    </row>
    <row r="731" spans="1:48" ht="13.5" customHeight="1">
      <c r="A731" s="82">
        <v>729</v>
      </c>
      <c r="B731" s="85">
        <v>520</v>
      </c>
      <c r="C731" s="85" t="s">
        <v>39</v>
      </c>
      <c r="D731" s="175">
        <v>-60.245300000000043</v>
      </c>
      <c r="F731" s="45">
        <v>882</v>
      </c>
      <c r="G731" s="45">
        <v>907.27909999999974</v>
      </c>
      <c r="H731" s="56">
        <v>-60.245300000000043</v>
      </c>
      <c r="I731" s="56">
        <v>-60.245300000000043</v>
      </c>
      <c r="J731" s="148">
        <v>0</v>
      </c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  <c r="AA731" s="57"/>
      <c r="AB731" s="57"/>
      <c r="AC731" s="57"/>
      <c r="AD731" s="57"/>
      <c r="AE731" s="57"/>
      <c r="AF731" s="57"/>
      <c r="AG731" s="57"/>
      <c r="AH731" s="57"/>
      <c r="AI731" s="57"/>
      <c r="AJ731" s="57"/>
      <c r="AK731" s="57"/>
      <c r="AL731" s="57"/>
      <c r="AM731" s="57"/>
      <c r="AN731" s="57"/>
      <c r="AO731" s="57"/>
      <c r="AP731" s="57"/>
      <c r="AQ731" s="57"/>
      <c r="AR731" s="57"/>
      <c r="AS731" s="57"/>
      <c r="AT731" s="57"/>
      <c r="AU731" s="58">
        <f t="shared" si="11"/>
        <v>-60.245300000000043</v>
      </c>
      <c r="AV731" s="58"/>
    </row>
    <row r="732" spans="1:48" ht="13.5" customHeight="1">
      <c r="A732" s="84">
        <v>730</v>
      </c>
      <c r="B732" s="85">
        <v>521</v>
      </c>
      <c r="C732" s="85" t="s">
        <v>39</v>
      </c>
      <c r="D732" s="175">
        <v>-28</v>
      </c>
      <c r="F732" s="45">
        <v>882</v>
      </c>
      <c r="G732" s="45">
        <v>626.52854249999984</v>
      </c>
      <c r="H732" s="56">
        <v>-28</v>
      </c>
      <c r="I732" s="56">
        <v>-28</v>
      </c>
      <c r="J732" s="148">
        <v>0</v>
      </c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  <c r="AA732" s="57"/>
      <c r="AB732" s="57"/>
      <c r="AC732" s="57"/>
      <c r="AD732" s="57"/>
      <c r="AE732" s="57"/>
      <c r="AF732" s="57"/>
      <c r="AG732" s="57"/>
      <c r="AH732" s="57"/>
      <c r="AI732" s="57"/>
      <c r="AJ732" s="57"/>
      <c r="AK732" s="57"/>
      <c r="AL732" s="57"/>
      <c r="AM732" s="57"/>
      <c r="AN732" s="57"/>
      <c r="AO732" s="57"/>
      <c r="AP732" s="57"/>
      <c r="AQ732" s="57"/>
      <c r="AR732" s="57"/>
      <c r="AS732" s="57"/>
      <c r="AT732" s="57"/>
      <c r="AU732" s="58">
        <f t="shared" si="11"/>
        <v>-28</v>
      </c>
      <c r="AV732" s="58"/>
    </row>
    <row r="733" spans="1:48" ht="13.5" customHeight="1">
      <c r="A733" s="82">
        <v>731</v>
      </c>
      <c r="B733" s="85">
        <v>522</v>
      </c>
      <c r="C733" s="85" t="s">
        <v>39</v>
      </c>
      <c r="D733" s="175">
        <v>-104.5748000000001</v>
      </c>
      <c r="F733" s="45">
        <v>882</v>
      </c>
      <c r="G733" s="45">
        <v>736.51937999999996</v>
      </c>
      <c r="H733" s="56">
        <v>-14.574800000000096</v>
      </c>
      <c r="I733" s="56">
        <v>-14.574800000000096</v>
      </c>
      <c r="J733" s="148">
        <v>0</v>
      </c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  <c r="AA733" s="57"/>
      <c r="AB733" s="57"/>
      <c r="AC733" s="57"/>
      <c r="AD733" s="57"/>
      <c r="AE733" s="57"/>
      <c r="AF733" s="57">
        <v>70</v>
      </c>
      <c r="AG733" s="57"/>
      <c r="AH733" s="57"/>
      <c r="AI733" s="57"/>
      <c r="AJ733" s="57"/>
      <c r="AK733" s="57"/>
      <c r="AL733" s="57"/>
      <c r="AM733" s="57"/>
      <c r="AN733" s="57"/>
      <c r="AO733" s="57">
        <v>20</v>
      </c>
      <c r="AP733" s="57"/>
      <c r="AQ733" s="57"/>
      <c r="AR733" s="57"/>
      <c r="AS733" s="57"/>
      <c r="AT733" s="57"/>
      <c r="AU733" s="58">
        <f t="shared" si="11"/>
        <v>-104.5748000000001</v>
      </c>
      <c r="AV733" s="58"/>
    </row>
    <row r="734" spans="1:48" ht="13.5" customHeight="1">
      <c r="A734" s="84">
        <v>732</v>
      </c>
      <c r="B734" s="85">
        <v>525</v>
      </c>
      <c r="C734" s="85" t="s">
        <v>39</v>
      </c>
      <c r="D734" s="175">
        <v>-169.05100000000002</v>
      </c>
      <c r="F734" s="45">
        <v>560</v>
      </c>
      <c r="G734" s="45">
        <v>421.60069500000003</v>
      </c>
      <c r="H734" s="56">
        <v>60.948999999999984</v>
      </c>
      <c r="I734" s="56">
        <v>60.948999999999984</v>
      </c>
      <c r="J734" s="148">
        <v>0</v>
      </c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>
        <v>230</v>
      </c>
      <c r="AA734" s="57"/>
      <c r="AB734" s="57"/>
      <c r="AC734" s="57"/>
      <c r="AD734" s="57"/>
      <c r="AE734" s="57"/>
      <c r="AF734" s="57"/>
      <c r="AG734" s="57"/>
      <c r="AH734" s="57"/>
      <c r="AI734" s="57"/>
      <c r="AJ734" s="57"/>
      <c r="AK734" s="57"/>
      <c r="AL734" s="57"/>
      <c r="AM734" s="57"/>
      <c r="AN734" s="57"/>
      <c r="AO734" s="57"/>
      <c r="AP734" s="57"/>
      <c r="AQ734" s="57"/>
      <c r="AR734" s="57"/>
      <c r="AS734" s="57"/>
      <c r="AT734" s="57"/>
      <c r="AU734" s="58">
        <f t="shared" si="11"/>
        <v>-169.05100000000002</v>
      </c>
      <c r="AV734" s="58"/>
    </row>
    <row r="735" spans="1:48" ht="13.5" customHeight="1">
      <c r="A735" s="84">
        <v>733</v>
      </c>
      <c r="B735" s="85">
        <v>534</v>
      </c>
      <c r="C735" s="85" t="s">
        <v>39</v>
      </c>
      <c r="D735" s="175">
        <v>660.1</v>
      </c>
      <c r="F735" s="45">
        <v>350</v>
      </c>
      <c r="G735" s="45">
        <v>393</v>
      </c>
      <c r="H735" s="56">
        <v>660.1</v>
      </c>
      <c r="I735" s="56">
        <v>660.1</v>
      </c>
      <c r="J735" s="148">
        <v>0</v>
      </c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  <c r="AA735" s="57"/>
      <c r="AB735" s="57"/>
      <c r="AC735" s="57"/>
      <c r="AD735" s="57"/>
      <c r="AE735" s="57"/>
      <c r="AF735" s="57"/>
      <c r="AG735" s="57"/>
      <c r="AH735" s="57"/>
      <c r="AI735" s="57"/>
      <c r="AJ735" s="57"/>
      <c r="AK735" s="57"/>
      <c r="AL735" s="57"/>
      <c r="AM735" s="57"/>
      <c r="AN735" s="57"/>
      <c r="AO735" s="57"/>
      <c r="AP735" s="57"/>
      <c r="AQ735" s="57"/>
      <c r="AR735" s="57"/>
      <c r="AS735" s="57"/>
      <c r="AT735" s="57"/>
      <c r="AU735" s="58">
        <f t="shared" si="11"/>
        <v>660.1</v>
      </c>
      <c r="AV735" s="58"/>
    </row>
    <row r="736" spans="1:48" ht="13.5" customHeight="1">
      <c r="A736" s="82">
        <v>734</v>
      </c>
      <c r="B736" s="85">
        <v>538</v>
      </c>
      <c r="C736" s="85" t="s">
        <v>39</v>
      </c>
      <c r="D736" s="175">
        <v>164.41269999999997</v>
      </c>
      <c r="F736" s="45">
        <v>882</v>
      </c>
      <c r="G736" s="45">
        <v>471.28199999999998</v>
      </c>
      <c r="H736" s="56">
        <v>164.41269999999997</v>
      </c>
      <c r="I736" s="56">
        <v>164.41269999999997</v>
      </c>
      <c r="J736" s="148">
        <v>0</v>
      </c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  <c r="AA736" s="57"/>
      <c r="AB736" s="57"/>
      <c r="AC736" s="57"/>
      <c r="AD736" s="57"/>
      <c r="AE736" s="57"/>
      <c r="AF736" s="57"/>
      <c r="AG736" s="57"/>
      <c r="AH736" s="57"/>
      <c r="AI736" s="57"/>
      <c r="AJ736" s="57"/>
      <c r="AK736" s="57"/>
      <c r="AL736" s="57"/>
      <c r="AM736" s="57"/>
      <c r="AN736" s="57"/>
      <c r="AO736" s="57"/>
      <c r="AP736" s="57"/>
      <c r="AQ736" s="57"/>
      <c r="AR736" s="57"/>
      <c r="AS736" s="57"/>
      <c r="AT736" s="57"/>
      <c r="AU736" s="58">
        <f t="shared" si="11"/>
        <v>164.41269999999997</v>
      </c>
      <c r="AV736" s="58"/>
    </row>
    <row r="737" spans="1:48" ht="13.5" customHeight="1">
      <c r="A737" s="84">
        <v>735</v>
      </c>
      <c r="B737" s="85">
        <v>541</v>
      </c>
      <c r="C737" s="85" t="s">
        <v>39</v>
      </c>
      <c r="D737" s="175">
        <v>121.60000000000002</v>
      </c>
      <c r="F737" s="45">
        <v>560</v>
      </c>
      <c r="G737" s="45">
        <v>490.33199999999999</v>
      </c>
      <c r="H737" s="56">
        <v>121.60000000000002</v>
      </c>
      <c r="I737" s="56">
        <v>121.60000000000002</v>
      </c>
      <c r="J737" s="148">
        <v>0</v>
      </c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  <c r="AA737" s="57"/>
      <c r="AB737" s="57"/>
      <c r="AC737" s="57"/>
      <c r="AD737" s="57"/>
      <c r="AE737" s="57"/>
      <c r="AF737" s="57"/>
      <c r="AG737" s="57"/>
      <c r="AH737" s="57"/>
      <c r="AI737" s="57"/>
      <c r="AJ737" s="57"/>
      <c r="AK737" s="57"/>
      <c r="AL737" s="57"/>
      <c r="AM737" s="57"/>
      <c r="AN737" s="57"/>
      <c r="AO737" s="57"/>
      <c r="AP737" s="57"/>
      <c r="AQ737" s="57"/>
      <c r="AR737" s="57"/>
      <c r="AS737" s="57"/>
      <c r="AT737" s="57"/>
      <c r="AU737" s="58">
        <f t="shared" si="11"/>
        <v>121.60000000000002</v>
      </c>
      <c r="AV737" s="58"/>
    </row>
    <row r="738" spans="1:48" ht="13.5" customHeight="1">
      <c r="A738" s="82">
        <v>736</v>
      </c>
      <c r="B738" s="85">
        <v>554</v>
      </c>
      <c r="C738" s="85" t="s">
        <v>39</v>
      </c>
      <c r="D738" s="175">
        <v>-99.375999999999976</v>
      </c>
      <c r="F738" s="45">
        <v>350</v>
      </c>
      <c r="G738" s="45">
        <v>307.11</v>
      </c>
      <c r="H738" s="56">
        <v>-49.375999999999976</v>
      </c>
      <c r="I738" s="56">
        <v>-49.375999999999976</v>
      </c>
      <c r="J738" s="148">
        <v>0</v>
      </c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>
        <v>140</v>
      </c>
      <c r="Z738" s="57"/>
      <c r="AA738" s="57"/>
      <c r="AB738" s="57"/>
      <c r="AC738" s="57"/>
      <c r="AD738" s="57">
        <v>-90</v>
      </c>
      <c r="AE738" s="57"/>
      <c r="AF738" s="57"/>
      <c r="AG738" s="57"/>
      <c r="AH738" s="57"/>
      <c r="AI738" s="57"/>
      <c r="AJ738" s="57"/>
      <c r="AK738" s="57"/>
      <c r="AL738" s="57"/>
      <c r="AM738" s="57"/>
      <c r="AN738" s="57"/>
      <c r="AO738" s="57"/>
      <c r="AP738" s="57"/>
      <c r="AQ738" s="57"/>
      <c r="AR738" s="57"/>
      <c r="AS738" s="57"/>
      <c r="AT738" s="57"/>
      <c r="AU738" s="58">
        <f t="shared" si="11"/>
        <v>-99.375999999999976</v>
      </c>
      <c r="AV738" s="58"/>
    </row>
    <row r="739" spans="1:48" ht="13.5" customHeight="1">
      <c r="A739" s="84">
        <v>737</v>
      </c>
      <c r="B739" s="85">
        <v>555</v>
      </c>
      <c r="C739" s="85" t="s">
        <v>39</v>
      </c>
      <c r="D739" s="175">
        <v>-49.932670000000087</v>
      </c>
      <c r="F739" s="45">
        <v>882</v>
      </c>
      <c r="G739" s="45">
        <v>907.71971999999994</v>
      </c>
      <c r="H739" s="56">
        <v>-29.932670000000087</v>
      </c>
      <c r="I739" s="56">
        <v>-29.932670000000087</v>
      </c>
      <c r="J739" s="148">
        <v>0</v>
      </c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>
        <v>20</v>
      </c>
      <c r="X739" s="57"/>
      <c r="Y739" s="57"/>
      <c r="Z739" s="57"/>
      <c r="AA739" s="57"/>
      <c r="AB739" s="57"/>
      <c r="AC739" s="57"/>
      <c r="AD739" s="57"/>
      <c r="AE739" s="57"/>
      <c r="AF739" s="57"/>
      <c r="AG739" s="57"/>
      <c r="AH739" s="57"/>
      <c r="AI739" s="57"/>
      <c r="AJ739" s="57"/>
      <c r="AK739" s="57"/>
      <c r="AL739" s="57"/>
      <c r="AM739" s="57"/>
      <c r="AN739" s="57"/>
      <c r="AO739" s="57"/>
      <c r="AP739" s="57"/>
      <c r="AQ739" s="57"/>
      <c r="AR739" s="57"/>
      <c r="AS739" s="57"/>
      <c r="AT739" s="57"/>
      <c r="AU739" s="58">
        <f t="shared" si="11"/>
        <v>-49.932670000000087</v>
      </c>
      <c r="AV739" s="58"/>
    </row>
    <row r="740" spans="1:48" ht="13.5" customHeight="1">
      <c r="A740" s="84">
        <v>738</v>
      </c>
      <c r="B740" s="85">
        <v>556</v>
      </c>
      <c r="C740" s="85" t="s">
        <v>39</v>
      </c>
      <c r="D740" s="175">
        <v>-40.245413749999955</v>
      </c>
      <c r="F740" s="45">
        <v>630</v>
      </c>
      <c r="G740" s="45">
        <v>539.03459999999995</v>
      </c>
      <c r="H740" s="56">
        <v>-40.245413749999955</v>
      </c>
      <c r="I740" s="56">
        <v>-40.245413749999955</v>
      </c>
      <c r="J740" s="148">
        <v>0</v>
      </c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  <c r="AA740" s="57"/>
      <c r="AB740" s="57"/>
      <c r="AC740" s="57"/>
      <c r="AD740" s="57"/>
      <c r="AE740" s="57"/>
      <c r="AF740" s="57"/>
      <c r="AG740" s="57"/>
      <c r="AH740" s="57"/>
      <c r="AI740" s="57"/>
      <c r="AJ740" s="57"/>
      <c r="AK740" s="57"/>
      <c r="AL740" s="57"/>
      <c r="AM740" s="57"/>
      <c r="AN740" s="57"/>
      <c r="AO740" s="57"/>
      <c r="AP740" s="57"/>
      <c r="AQ740" s="57"/>
      <c r="AR740" s="57"/>
      <c r="AS740" s="57"/>
      <c r="AT740" s="57"/>
      <c r="AU740" s="58">
        <f t="shared" si="11"/>
        <v>-40.245413749999955</v>
      </c>
      <c r="AV740" s="58"/>
    </row>
    <row r="741" spans="1:48" ht="13.5" customHeight="1">
      <c r="A741" s="82">
        <v>739</v>
      </c>
      <c r="B741" s="85">
        <v>557</v>
      </c>
      <c r="C741" s="85" t="s">
        <v>39</v>
      </c>
      <c r="D741" s="175">
        <v>-42.256682499999954</v>
      </c>
      <c r="F741" s="45">
        <v>630</v>
      </c>
      <c r="G741" s="45">
        <v>441.31598250000002</v>
      </c>
      <c r="H741" s="56">
        <v>-42.256682499999954</v>
      </c>
      <c r="I741" s="56">
        <v>-42.256682499999954</v>
      </c>
      <c r="J741" s="148">
        <v>0</v>
      </c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  <c r="AA741" s="57"/>
      <c r="AB741" s="57"/>
      <c r="AC741" s="57"/>
      <c r="AD741" s="57"/>
      <c r="AE741" s="57"/>
      <c r="AF741" s="57"/>
      <c r="AG741" s="57"/>
      <c r="AH741" s="57"/>
      <c r="AI741" s="57"/>
      <c r="AJ741" s="57"/>
      <c r="AK741" s="57"/>
      <c r="AL741" s="57"/>
      <c r="AM741" s="57"/>
      <c r="AN741" s="57"/>
      <c r="AO741" s="57"/>
      <c r="AP741" s="57"/>
      <c r="AQ741" s="57"/>
      <c r="AR741" s="57"/>
      <c r="AS741" s="57"/>
      <c r="AT741" s="57"/>
      <c r="AU741" s="58">
        <f t="shared" si="11"/>
        <v>-42.256682499999954</v>
      </c>
      <c r="AV741" s="58"/>
    </row>
    <row r="742" spans="1:48" ht="13.5" customHeight="1">
      <c r="A742" s="84">
        <v>740</v>
      </c>
      <c r="B742" s="85">
        <v>558</v>
      </c>
      <c r="C742" s="85" t="s">
        <v>39</v>
      </c>
      <c r="D742" s="175">
        <v>41.794500000000028</v>
      </c>
      <c r="F742" s="45">
        <v>630</v>
      </c>
      <c r="G742" s="45">
        <v>555.32100000000003</v>
      </c>
      <c r="H742" s="56">
        <v>61.794500000000028</v>
      </c>
      <c r="I742" s="56">
        <v>61.794500000000028</v>
      </c>
      <c r="J742" s="148">
        <v>0</v>
      </c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>
        <v>20</v>
      </c>
      <c r="AA742" s="57"/>
      <c r="AB742" s="57"/>
      <c r="AC742" s="57"/>
      <c r="AD742" s="57"/>
      <c r="AE742" s="57"/>
      <c r="AF742" s="57"/>
      <c r="AG742" s="57"/>
      <c r="AH742" s="57"/>
      <c r="AI742" s="57"/>
      <c r="AJ742" s="57"/>
      <c r="AK742" s="57"/>
      <c r="AL742" s="57"/>
      <c r="AM742" s="57"/>
      <c r="AN742" s="57"/>
      <c r="AO742" s="57"/>
      <c r="AP742" s="57"/>
      <c r="AQ742" s="57"/>
      <c r="AR742" s="57"/>
      <c r="AS742" s="57"/>
      <c r="AT742" s="57"/>
      <c r="AU742" s="58">
        <f t="shared" si="11"/>
        <v>41.794500000000028</v>
      </c>
      <c r="AV742" s="58"/>
    </row>
    <row r="743" spans="1:48" ht="13.5" customHeight="1">
      <c r="A743" s="82">
        <v>741</v>
      </c>
      <c r="B743" s="85">
        <v>564</v>
      </c>
      <c r="C743" s="85" t="s">
        <v>39</v>
      </c>
      <c r="D743" s="175">
        <v>46.168099999999981</v>
      </c>
      <c r="F743" s="45">
        <v>630</v>
      </c>
      <c r="G743" s="45">
        <v>495.03</v>
      </c>
      <c r="H743" s="56">
        <v>46.168099999999981</v>
      </c>
      <c r="I743" s="56">
        <v>46.168099999999981</v>
      </c>
      <c r="J743" s="148">
        <v>0</v>
      </c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  <c r="AA743" s="57"/>
      <c r="AB743" s="57"/>
      <c r="AC743" s="57"/>
      <c r="AD743" s="57"/>
      <c r="AE743" s="57"/>
      <c r="AF743" s="57"/>
      <c r="AG743" s="57"/>
      <c r="AH743" s="57"/>
      <c r="AI743" s="57"/>
      <c r="AJ743" s="57"/>
      <c r="AK743" s="57"/>
      <c r="AL743" s="57"/>
      <c r="AM743" s="57"/>
      <c r="AN743" s="57"/>
      <c r="AO743" s="57"/>
      <c r="AP743" s="57"/>
      <c r="AQ743" s="57"/>
      <c r="AR743" s="57"/>
      <c r="AS743" s="57"/>
      <c r="AT743" s="57"/>
      <c r="AU743" s="58">
        <f t="shared" si="11"/>
        <v>46.168099999999981</v>
      </c>
      <c r="AV743" s="58"/>
    </row>
    <row r="744" spans="1:48" ht="13.5" customHeight="1">
      <c r="A744" s="84">
        <v>742</v>
      </c>
      <c r="B744" s="85">
        <v>574</v>
      </c>
      <c r="C744" s="85" t="s">
        <v>39</v>
      </c>
      <c r="D744" s="175">
        <v>-432.60596499999997</v>
      </c>
      <c r="F744" s="45">
        <v>882</v>
      </c>
      <c r="G744" s="45">
        <v>876.26226000000008</v>
      </c>
      <c r="H744" s="56">
        <v>-210.60596499999997</v>
      </c>
      <c r="I744" s="56">
        <v>-210.60596499999997</v>
      </c>
      <c r="J744" s="148">
        <v>0</v>
      </c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>
        <v>111</v>
      </c>
      <c r="Y744" s="57"/>
      <c r="Z744" s="57"/>
      <c r="AA744" s="57"/>
      <c r="AB744" s="57">
        <v>111</v>
      </c>
      <c r="AC744" s="57"/>
      <c r="AD744" s="57"/>
      <c r="AE744" s="57"/>
      <c r="AF744" s="57"/>
      <c r="AG744" s="57"/>
      <c r="AH744" s="57"/>
      <c r="AI744" s="57"/>
      <c r="AJ744" s="57"/>
      <c r="AK744" s="57"/>
      <c r="AL744" s="57"/>
      <c r="AM744" s="57"/>
      <c r="AN744" s="57"/>
      <c r="AO744" s="57"/>
      <c r="AP744" s="57"/>
      <c r="AQ744" s="57"/>
      <c r="AR744" s="57"/>
      <c r="AS744" s="57"/>
      <c r="AT744" s="57"/>
      <c r="AU744" s="58">
        <f t="shared" si="11"/>
        <v>-432.60596499999997</v>
      </c>
      <c r="AV744" s="58"/>
    </row>
    <row r="745" spans="1:48" ht="13.5" customHeight="1">
      <c r="A745" s="84">
        <v>743</v>
      </c>
      <c r="B745" s="85">
        <v>587</v>
      </c>
      <c r="C745" s="85" t="s">
        <v>39</v>
      </c>
      <c r="D745" s="175">
        <v>-102.79800000000012</v>
      </c>
      <c r="F745" s="45">
        <v>250</v>
      </c>
      <c r="G745" s="45">
        <v>0</v>
      </c>
      <c r="H745" s="56">
        <v>-102.79800000000012</v>
      </c>
      <c r="I745" s="56">
        <v>-102.79800000000012</v>
      </c>
      <c r="J745" s="148">
        <v>0</v>
      </c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  <c r="AC745" s="57"/>
      <c r="AD745" s="57"/>
      <c r="AE745" s="57"/>
      <c r="AF745" s="57"/>
      <c r="AG745" s="57"/>
      <c r="AH745" s="57"/>
      <c r="AI745" s="57"/>
      <c r="AJ745" s="57"/>
      <c r="AK745" s="57"/>
      <c r="AL745" s="57"/>
      <c r="AM745" s="57"/>
      <c r="AN745" s="57"/>
      <c r="AO745" s="57"/>
      <c r="AP745" s="57"/>
      <c r="AQ745" s="57"/>
      <c r="AR745" s="57"/>
      <c r="AS745" s="57"/>
      <c r="AT745" s="57"/>
      <c r="AU745" s="58">
        <f t="shared" si="11"/>
        <v>-102.79800000000012</v>
      </c>
      <c r="AV745" s="58"/>
    </row>
    <row r="746" spans="1:48" ht="13.5" customHeight="1">
      <c r="A746" s="82">
        <v>744</v>
      </c>
      <c r="B746" s="85">
        <v>588</v>
      </c>
      <c r="C746" s="85" t="s">
        <v>39</v>
      </c>
      <c r="D746" s="175">
        <v>-101.59782499999994</v>
      </c>
      <c r="F746" s="45">
        <v>448</v>
      </c>
      <c r="G746" s="45">
        <v>493.31200000000001</v>
      </c>
      <c r="H746" s="56">
        <v>-31.597824999999943</v>
      </c>
      <c r="I746" s="56">
        <v>-31.597824999999943</v>
      </c>
      <c r="J746" s="148">
        <v>0</v>
      </c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  <c r="AD746" s="57"/>
      <c r="AE746" s="57"/>
      <c r="AF746" s="57"/>
      <c r="AG746" s="57"/>
      <c r="AH746" s="57"/>
      <c r="AI746" s="57"/>
      <c r="AJ746" s="57"/>
      <c r="AK746" s="57">
        <v>70</v>
      </c>
      <c r="AL746" s="57"/>
      <c r="AM746" s="57"/>
      <c r="AN746" s="57"/>
      <c r="AO746" s="57"/>
      <c r="AP746" s="57"/>
      <c r="AQ746" s="57"/>
      <c r="AR746" s="57"/>
      <c r="AS746" s="57"/>
      <c r="AT746" s="57"/>
      <c r="AU746" s="58">
        <f t="shared" si="11"/>
        <v>-101.59782499999994</v>
      </c>
      <c r="AV746" s="58"/>
    </row>
    <row r="747" spans="1:48" ht="13.5" customHeight="1">
      <c r="A747" s="84">
        <v>745</v>
      </c>
      <c r="B747" s="85">
        <v>589</v>
      </c>
      <c r="C747" s="85" t="s">
        <v>39</v>
      </c>
      <c r="D747" s="175">
        <v>-118.29042375000006</v>
      </c>
      <c r="F747" s="45">
        <v>400</v>
      </c>
      <c r="G747" s="45">
        <v>286.404</v>
      </c>
      <c r="H747" s="56">
        <v>21.709576249999941</v>
      </c>
      <c r="I747" s="56">
        <v>21.709576249999941</v>
      </c>
      <c r="J747" s="148">
        <v>0</v>
      </c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  <c r="AC747" s="57"/>
      <c r="AD747" s="57"/>
      <c r="AE747" s="57"/>
      <c r="AF747" s="57"/>
      <c r="AG747" s="57"/>
      <c r="AH747" s="57"/>
      <c r="AI747" s="57"/>
      <c r="AJ747" s="57"/>
      <c r="AK747" s="57">
        <v>140</v>
      </c>
      <c r="AL747" s="57"/>
      <c r="AM747" s="57"/>
      <c r="AN747" s="57"/>
      <c r="AO747" s="57"/>
      <c r="AP747" s="57"/>
      <c r="AQ747" s="57"/>
      <c r="AR747" s="57"/>
      <c r="AS747" s="57"/>
      <c r="AT747" s="57"/>
      <c r="AU747" s="58">
        <f t="shared" si="11"/>
        <v>-118.29042375000006</v>
      </c>
      <c r="AV747" s="58"/>
    </row>
    <row r="748" spans="1:48" ht="13.5" customHeight="1">
      <c r="A748" s="82">
        <v>746</v>
      </c>
      <c r="B748" s="85">
        <v>590</v>
      </c>
      <c r="C748" s="85" t="s">
        <v>39</v>
      </c>
      <c r="D748" s="175">
        <v>20.320200000000057</v>
      </c>
      <c r="F748" s="45">
        <v>400</v>
      </c>
      <c r="G748" s="45">
        <v>226.21913999999998</v>
      </c>
      <c r="H748" s="56">
        <v>20.320200000000057</v>
      </c>
      <c r="I748" s="56">
        <v>20.320200000000057</v>
      </c>
      <c r="J748" s="148">
        <v>0</v>
      </c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  <c r="AC748" s="57"/>
      <c r="AD748" s="57"/>
      <c r="AE748" s="57"/>
      <c r="AF748" s="57"/>
      <c r="AG748" s="57"/>
      <c r="AH748" s="57"/>
      <c r="AI748" s="57"/>
      <c r="AJ748" s="57"/>
      <c r="AK748" s="57"/>
      <c r="AL748" s="57"/>
      <c r="AM748" s="57"/>
      <c r="AN748" s="57"/>
      <c r="AO748" s="57"/>
      <c r="AP748" s="57"/>
      <c r="AQ748" s="57"/>
      <c r="AR748" s="57"/>
      <c r="AS748" s="57"/>
      <c r="AT748" s="57"/>
      <c r="AU748" s="58">
        <f t="shared" si="11"/>
        <v>20.320200000000057</v>
      </c>
      <c r="AV748" s="58"/>
    </row>
    <row r="749" spans="1:48" ht="13.5" customHeight="1">
      <c r="A749" s="84">
        <v>747</v>
      </c>
      <c r="B749" s="85">
        <v>591</v>
      </c>
      <c r="C749" s="85" t="s">
        <v>39</v>
      </c>
      <c r="D749" s="175">
        <v>-897.98960000000011</v>
      </c>
      <c r="F749" s="45">
        <v>100</v>
      </c>
      <c r="G749" s="45">
        <v>29.58</v>
      </c>
      <c r="H749" s="56">
        <v>-384.48960000000011</v>
      </c>
      <c r="I749" s="56">
        <v>-367.48960000000011</v>
      </c>
      <c r="J749" s="148">
        <v>17</v>
      </c>
      <c r="K749" s="57">
        <v>17</v>
      </c>
      <c r="L749" s="57"/>
      <c r="M749" s="57">
        <v>400</v>
      </c>
      <c r="N749" s="57"/>
      <c r="O749" s="57"/>
      <c r="P749" s="57"/>
      <c r="Q749" s="57">
        <v>96.5</v>
      </c>
      <c r="R749" s="57"/>
      <c r="S749" s="57"/>
      <c r="T749" s="57"/>
      <c r="U749" s="57"/>
      <c r="V749" s="57"/>
      <c r="W749" s="57"/>
      <c r="X749" s="57"/>
      <c r="Y749" s="57"/>
      <c r="Z749" s="57"/>
      <c r="AA749" s="57"/>
      <c r="AB749" s="57"/>
      <c r="AC749" s="57"/>
      <c r="AD749" s="57"/>
      <c r="AE749" s="57"/>
      <c r="AF749" s="57"/>
      <c r="AG749" s="57"/>
      <c r="AH749" s="57"/>
      <c r="AI749" s="57"/>
      <c r="AJ749" s="57"/>
      <c r="AK749" s="57"/>
      <c r="AL749" s="57"/>
      <c r="AM749" s="57"/>
      <c r="AN749" s="57"/>
      <c r="AO749" s="57"/>
      <c r="AP749" s="57"/>
      <c r="AQ749" s="57"/>
      <c r="AR749" s="57"/>
      <c r="AS749" s="57"/>
      <c r="AT749" s="57"/>
      <c r="AU749" s="58">
        <f t="shared" si="11"/>
        <v>-897.98960000000011</v>
      </c>
      <c r="AV749" s="58"/>
    </row>
    <row r="750" spans="1:48" ht="13.5" customHeight="1">
      <c r="A750" s="84">
        <v>748</v>
      </c>
      <c r="B750" s="85">
        <v>592</v>
      </c>
      <c r="C750" s="85" t="s">
        <v>39</v>
      </c>
      <c r="D750" s="175">
        <v>-263.81640000000004</v>
      </c>
      <c r="F750" s="45">
        <v>630</v>
      </c>
      <c r="G750" s="45">
        <v>112.602</v>
      </c>
      <c r="H750" s="56">
        <v>-54.216400000000021</v>
      </c>
      <c r="I750" s="56">
        <v>-54.216400000000021</v>
      </c>
      <c r="J750" s="148">
        <v>0</v>
      </c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  <c r="AA750" s="57"/>
      <c r="AB750" s="57"/>
      <c r="AC750" s="57"/>
      <c r="AD750" s="57"/>
      <c r="AE750" s="57"/>
      <c r="AF750" s="57">
        <v>209.6</v>
      </c>
      <c r="AG750" s="57"/>
      <c r="AH750" s="57"/>
      <c r="AI750" s="57"/>
      <c r="AJ750" s="57"/>
      <c r="AK750" s="57"/>
      <c r="AL750" s="57"/>
      <c r="AM750" s="57"/>
      <c r="AN750" s="57"/>
      <c r="AO750" s="57"/>
      <c r="AP750" s="57"/>
      <c r="AQ750" s="57"/>
      <c r="AR750" s="57"/>
      <c r="AS750" s="57"/>
      <c r="AT750" s="57"/>
      <c r="AU750" s="58">
        <f t="shared" si="11"/>
        <v>-263.81640000000004</v>
      </c>
      <c r="AV750" s="58"/>
    </row>
    <row r="751" spans="1:48" ht="13.5" customHeight="1">
      <c r="A751" s="82">
        <v>749</v>
      </c>
      <c r="B751" s="85">
        <v>593</v>
      </c>
      <c r="C751" s="85" t="s">
        <v>39</v>
      </c>
      <c r="D751" s="175">
        <v>7.6758099999999558</v>
      </c>
      <c r="F751" s="45">
        <v>250</v>
      </c>
      <c r="G751" s="45">
        <v>112.34135999999998</v>
      </c>
      <c r="H751" s="56">
        <v>355.67580999999996</v>
      </c>
      <c r="I751" s="56">
        <v>355.67580999999996</v>
      </c>
      <c r="J751" s="148">
        <v>0</v>
      </c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  <c r="AA751" s="57"/>
      <c r="AB751" s="57"/>
      <c r="AC751" s="57"/>
      <c r="AD751" s="57"/>
      <c r="AE751" s="57"/>
      <c r="AF751" s="57"/>
      <c r="AG751" s="57"/>
      <c r="AH751" s="57">
        <v>235.5</v>
      </c>
      <c r="AI751" s="57"/>
      <c r="AJ751" s="57"/>
      <c r="AK751" s="57"/>
      <c r="AL751" s="57">
        <v>112.5</v>
      </c>
      <c r="AM751" s="57"/>
      <c r="AN751" s="57"/>
      <c r="AO751" s="57"/>
      <c r="AP751" s="57"/>
      <c r="AQ751" s="57"/>
      <c r="AR751" s="57"/>
      <c r="AS751" s="57"/>
      <c r="AT751" s="57"/>
      <c r="AU751" s="58">
        <f t="shared" si="11"/>
        <v>7.6758099999999558</v>
      </c>
      <c r="AV751" s="58"/>
    </row>
    <row r="752" spans="1:48" ht="13.5" customHeight="1">
      <c r="A752" s="84">
        <v>750</v>
      </c>
      <c r="B752" s="85">
        <v>594</v>
      </c>
      <c r="C752" s="85" t="s">
        <v>39</v>
      </c>
      <c r="D752" s="175">
        <v>-135.69584999999995</v>
      </c>
      <c r="F752" s="45">
        <v>400</v>
      </c>
      <c r="G752" s="45">
        <v>165.37884375000002</v>
      </c>
      <c r="H752" s="56">
        <v>14.30415000000005</v>
      </c>
      <c r="I752" s="56">
        <v>14.30415000000005</v>
      </c>
      <c r="J752" s="148">
        <v>0</v>
      </c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>
        <v>150</v>
      </c>
      <c r="Z752" s="57"/>
      <c r="AA752" s="57"/>
      <c r="AB752" s="57"/>
      <c r="AC752" s="57"/>
      <c r="AD752" s="57"/>
      <c r="AE752" s="57"/>
      <c r="AF752" s="57"/>
      <c r="AG752" s="57"/>
      <c r="AH752" s="57"/>
      <c r="AI752" s="57"/>
      <c r="AJ752" s="57"/>
      <c r="AK752" s="57"/>
      <c r="AL752" s="57"/>
      <c r="AM752" s="57"/>
      <c r="AN752" s="57"/>
      <c r="AO752" s="57"/>
      <c r="AP752" s="57"/>
      <c r="AQ752" s="57"/>
      <c r="AR752" s="57"/>
      <c r="AS752" s="57"/>
      <c r="AT752" s="57"/>
      <c r="AU752" s="58">
        <f t="shared" si="11"/>
        <v>-135.69584999999995</v>
      </c>
      <c r="AV752" s="58"/>
    </row>
    <row r="753" spans="1:48" ht="13.5" customHeight="1">
      <c r="A753" s="82">
        <v>751</v>
      </c>
      <c r="B753" s="85">
        <v>595</v>
      </c>
      <c r="C753" s="85" t="s">
        <v>39</v>
      </c>
      <c r="D753" s="175">
        <v>45.550200000000018</v>
      </c>
      <c r="F753" s="45">
        <v>400</v>
      </c>
      <c r="G753" s="45">
        <v>250.72312500000001</v>
      </c>
      <c r="H753" s="56">
        <v>45.550200000000018</v>
      </c>
      <c r="I753" s="56">
        <v>45.550200000000018</v>
      </c>
      <c r="J753" s="148">
        <v>0</v>
      </c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  <c r="AA753" s="57"/>
      <c r="AB753" s="57"/>
      <c r="AC753" s="57"/>
      <c r="AD753" s="57"/>
      <c r="AE753" s="57"/>
      <c r="AF753" s="57"/>
      <c r="AG753" s="57"/>
      <c r="AH753" s="57"/>
      <c r="AI753" s="57"/>
      <c r="AJ753" s="57"/>
      <c r="AK753" s="57"/>
      <c r="AL753" s="57"/>
      <c r="AM753" s="57"/>
      <c r="AN753" s="57"/>
      <c r="AO753" s="57"/>
      <c r="AP753" s="57"/>
      <c r="AQ753" s="57"/>
      <c r="AR753" s="57"/>
      <c r="AS753" s="57"/>
      <c r="AT753" s="57"/>
      <c r="AU753" s="58">
        <f t="shared" si="11"/>
        <v>45.550200000000018</v>
      </c>
      <c r="AV753" s="58"/>
    </row>
    <row r="754" spans="1:48" ht="13.5" customHeight="1">
      <c r="A754" s="84">
        <v>752</v>
      </c>
      <c r="B754" s="85">
        <v>596</v>
      </c>
      <c r="C754" s="85" t="s">
        <v>39</v>
      </c>
      <c r="D754" s="175">
        <v>-120.34500000000003</v>
      </c>
      <c r="F754" s="45">
        <v>250</v>
      </c>
      <c r="G754" s="45">
        <v>267.52499999999998</v>
      </c>
      <c r="H754" s="56">
        <v>-43.345000000000027</v>
      </c>
      <c r="I754" s="56">
        <v>-43.345000000000027</v>
      </c>
      <c r="J754" s="148">
        <v>0</v>
      </c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  <c r="AA754" s="57"/>
      <c r="AB754" s="57"/>
      <c r="AC754" s="57"/>
      <c r="AD754" s="57"/>
      <c r="AE754" s="57"/>
      <c r="AF754" s="57"/>
      <c r="AG754" s="57"/>
      <c r="AH754" s="57">
        <v>77</v>
      </c>
      <c r="AI754" s="57"/>
      <c r="AJ754" s="57"/>
      <c r="AK754" s="57"/>
      <c r="AL754" s="57"/>
      <c r="AM754" s="57"/>
      <c r="AN754" s="57"/>
      <c r="AO754" s="57"/>
      <c r="AP754" s="57"/>
      <c r="AQ754" s="57"/>
      <c r="AR754" s="57"/>
      <c r="AS754" s="57"/>
      <c r="AT754" s="57"/>
      <c r="AU754" s="58">
        <f t="shared" si="11"/>
        <v>-120.34500000000003</v>
      </c>
      <c r="AV754" s="58"/>
    </row>
    <row r="755" spans="1:48" ht="13.5" customHeight="1">
      <c r="A755" s="84">
        <v>753</v>
      </c>
      <c r="B755" s="85">
        <v>602</v>
      </c>
      <c r="C755" s="85" t="s">
        <v>39</v>
      </c>
      <c r="D755" s="175">
        <v>135.45621500000001</v>
      </c>
      <c r="F755" s="45">
        <v>560</v>
      </c>
      <c r="G755" s="45">
        <v>598.62400000000002</v>
      </c>
      <c r="H755" s="56">
        <v>152.45621500000001</v>
      </c>
      <c r="I755" s="56">
        <v>152.45621500000001</v>
      </c>
      <c r="J755" s="148">
        <v>0</v>
      </c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  <c r="AA755" s="57"/>
      <c r="AB755" s="57"/>
      <c r="AC755" s="57"/>
      <c r="AD755" s="57"/>
      <c r="AE755" s="57"/>
      <c r="AF755" s="57"/>
      <c r="AG755" s="57"/>
      <c r="AH755" s="57"/>
      <c r="AI755" s="57"/>
      <c r="AJ755" s="57"/>
      <c r="AK755" s="57"/>
      <c r="AL755" s="57"/>
      <c r="AM755" s="57"/>
      <c r="AN755" s="57"/>
      <c r="AO755" s="57">
        <v>17</v>
      </c>
      <c r="AP755" s="57"/>
      <c r="AQ755" s="57"/>
      <c r="AR755" s="57"/>
      <c r="AS755" s="57"/>
      <c r="AT755" s="57"/>
      <c r="AU755" s="58">
        <f t="shared" si="11"/>
        <v>135.45621500000001</v>
      </c>
      <c r="AV755" s="58"/>
    </row>
    <row r="756" spans="1:48" ht="13.5" customHeight="1">
      <c r="A756" s="82">
        <v>754</v>
      </c>
      <c r="B756" s="85">
        <v>603</v>
      </c>
      <c r="C756" s="85" t="s">
        <v>39</v>
      </c>
      <c r="D756" s="175">
        <v>140.78681750000001</v>
      </c>
      <c r="F756" s="45">
        <v>630</v>
      </c>
      <c r="G756" s="45">
        <v>454.03647000000007</v>
      </c>
      <c r="H756" s="56">
        <v>140.78681750000001</v>
      </c>
      <c r="I756" s="56">
        <v>140.78681750000001</v>
      </c>
      <c r="J756" s="148">
        <v>0</v>
      </c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  <c r="AA756" s="57"/>
      <c r="AB756" s="57"/>
      <c r="AC756" s="57"/>
      <c r="AD756" s="57"/>
      <c r="AE756" s="57"/>
      <c r="AF756" s="57"/>
      <c r="AG756" s="57"/>
      <c r="AH756" s="57"/>
      <c r="AI756" s="57"/>
      <c r="AJ756" s="57"/>
      <c r="AK756" s="57"/>
      <c r="AL756" s="57"/>
      <c r="AM756" s="57"/>
      <c r="AN756" s="57"/>
      <c r="AO756" s="57"/>
      <c r="AP756" s="57"/>
      <c r="AQ756" s="57"/>
      <c r="AR756" s="57"/>
      <c r="AS756" s="57"/>
      <c r="AT756" s="57"/>
      <c r="AU756" s="58">
        <f t="shared" si="11"/>
        <v>140.78681750000001</v>
      </c>
      <c r="AV756" s="58"/>
    </row>
    <row r="757" spans="1:48" ht="13.5" customHeight="1">
      <c r="A757" s="84">
        <v>755</v>
      </c>
      <c r="B757" s="85">
        <v>604</v>
      </c>
      <c r="C757" s="85" t="s">
        <v>39</v>
      </c>
      <c r="D757" s="175">
        <v>174.88684000000001</v>
      </c>
      <c r="F757" s="45">
        <v>882</v>
      </c>
      <c r="G757" s="45">
        <v>801.31350000000009</v>
      </c>
      <c r="H757" s="56">
        <v>204.88684000000001</v>
      </c>
      <c r="I757" s="56">
        <v>204.88684000000001</v>
      </c>
      <c r="J757" s="148">
        <v>0</v>
      </c>
      <c r="K757" s="57">
        <v>30</v>
      </c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  <c r="AA757" s="57"/>
      <c r="AB757" s="57"/>
      <c r="AC757" s="57"/>
      <c r="AD757" s="57"/>
      <c r="AE757" s="57"/>
      <c r="AF757" s="57"/>
      <c r="AG757" s="57"/>
      <c r="AH757" s="57"/>
      <c r="AI757" s="57"/>
      <c r="AJ757" s="57"/>
      <c r="AK757" s="57"/>
      <c r="AL757" s="57"/>
      <c r="AM757" s="57"/>
      <c r="AN757" s="57"/>
      <c r="AO757" s="57"/>
      <c r="AP757" s="57"/>
      <c r="AQ757" s="57"/>
      <c r="AR757" s="57"/>
      <c r="AS757" s="57"/>
      <c r="AT757" s="57"/>
      <c r="AU757" s="58">
        <f t="shared" si="11"/>
        <v>174.88684000000001</v>
      </c>
      <c r="AV757" s="58"/>
    </row>
    <row r="758" spans="1:48" ht="13.5" customHeight="1">
      <c r="A758" s="82">
        <v>756</v>
      </c>
      <c r="B758" s="85">
        <v>612</v>
      </c>
      <c r="C758" s="85" t="s">
        <v>39</v>
      </c>
      <c r="D758" s="175">
        <v>-16.081600000000094</v>
      </c>
      <c r="F758" s="45">
        <v>882</v>
      </c>
      <c r="G758" s="45">
        <v>963.57560000000012</v>
      </c>
      <c r="H758" s="56">
        <v>-16.081600000000094</v>
      </c>
      <c r="I758" s="56">
        <v>-16.081600000000094</v>
      </c>
      <c r="J758" s="148">
        <v>0</v>
      </c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  <c r="AA758" s="57"/>
      <c r="AB758" s="57"/>
      <c r="AC758" s="57"/>
      <c r="AD758" s="57"/>
      <c r="AE758" s="57"/>
      <c r="AF758" s="57"/>
      <c r="AG758" s="57"/>
      <c r="AH758" s="57"/>
      <c r="AI758" s="57"/>
      <c r="AJ758" s="57"/>
      <c r="AK758" s="57"/>
      <c r="AL758" s="57"/>
      <c r="AM758" s="57"/>
      <c r="AN758" s="57"/>
      <c r="AO758" s="57"/>
      <c r="AP758" s="57"/>
      <c r="AQ758" s="57"/>
      <c r="AR758" s="57"/>
      <c r="AS758" s="57"/>
      <c r="AT758" s="57"/>
      <c r="AU758" s="58">
        <f t="shared" si="11"/>
        <v>-16.081600000000094</v>
      </c>
      <c r="AV758" s="58"/>
    </row>
    <row r="759" spans="1:48" ht="13.5" customHeight="1">
      <c r="A759" s="84">
        <v>757</v>
      </c>
      <c r="B759" s="85">
        <v>624</v>
      </c>
      <c r="C759" s="85" t="s">
        <v>39</v>
      </c>
      <c r="D759" s="175">
        <v>-152.54875999999996</v>
      </c>
      <c r="F759" s="45">
        <v>560</v>
      </c>
      <c r="G759" s="45">
        <v>335.47200000000004</v>
      </c>
      <c r="H759" s="56">
        <v>-57.548759999999959</v>
      </c>
      <c r="I759" s="56">
        <v>-57.548759999999959</v>
      </c>
      <c r="J759" s="148">
        <v>0</v>
      </c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  <c r="AA759" s="57"/>
      <c r="AB759" s="57"/>
      <c r="AC759" s="57"/>
      <c r="AD759" s="57"/>
      <c r="AE759" s="57"/>
      <c r="AF759" s="57">
        <v>35</v>
      </c>
      <c r="AG759" s="57"/>
      <c r="AH759" s="57">
        <v>25</v>
      </c>
      <c r="AI759" s="57"/>
      <c r="AJ759" s="57"/>
      <c r="AK759" s="57"/>
      <c r="AL759" s="57">
        <v>35</v>
      </c>
      <c r="AM759" s="57"/>
      <c r="AN759" s="57"/>
      <c r="AO759" s="57"/>
      <c r="AP759" s="57"/>
      <c r="AQ759" s="57"/>
      <c r="AR759" s="57"/>
      <c r="AS759" s="57"/>
      <c r="AT759" s="57"/>
      <c r="AU759" s="58">
        <f t="shared" si="11"/>
        <v>-152.54875999999996</v>
      </c>
      <c r="AV759" s="58"/>
    </row>
    <row r="760" spans="1:48" ht="13.5" customHeight="1">
      <c r="A760" s="84">
        <v>758</v>
      </c>
      <c r="B760" s="85">
        <v>626</v>
      </c>
      <c r="C760" s="85" t="s">
        <v>39</v>
      </c>
      <c r="D760" s="175">
        <v>91.649400000000014</v>
      </c>
      <c r="F760" s="45">
        <v>560</v>
      </c>
      <c r="G760" s="45">
        <v>422.82</v>
      </c>
      <c r="H760" s="56">
        <v>171.64940000000001</v>
      </c>
      <c r="I760" s="56">
        <v>171.64940000000001</v>
      </c>
      <c r="J760" s="148">
        <v>0</v>
      </c>
      <c r="K760" s="57"/>
      <c r="L760" s="57"/>
      <c r="M760" s="57">
        <v>80</v>
      </c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  <c r="AA760" s="57"/>
      <c r="AB760" s="57"/>
      <c r="AC760" s="57"/>
      <c r="AD760" s="57"/>
      <c r="AE760" s="57"/>
      <c r="AF760" s="57"/>
      <c r="AG760" s="57"/>
      <c r="AH760" s="57"/>
      <c r="AI760" s="57"/>
      <c r="AJ760" s="57"/>
      <c r="AK760" s="57"/>
      <c r="AL760" s="57"/>
      <c r="AM760" s="57"/>
      <c r="AN760" s="57"/>
      <c r="AO760" s="57"/>
      <c r="AP760" s="57"/>
      <c r="AQ760" s="57"/>
      <c r="AR760" s="57"/>
      <c r="AS760" s="57"/>
      <c r="AT760" s="57"/>
      <c r="AU760" s="58">
        <f t="shared" si="11"/>
        <v>91.649400000000014</v>
      </c>
      <c r="AV760" s="58"/>
    </row>
    <row r="761" spans="1:48" ht="13.5" customHeight="1">
      <c r="A761" s="82">
        <v>759</v>
      </c>
      <c r="B761" s="85">
        <v>630</v>
      </c>
      <c r="C761" s="85" t="s">
        <v>39</v>
      </c>
      <c r="D761" s="175">
        <v>-56.276573750000011</v>
      </c>
      <c r="F761" s="45">
        <v>560</v>
      </c>
      <c r="G761" s="45">
        <v>327.29508749999997</v>
      </c>
      <c r="H761" s="56">
        <v>-56.276573750000011</v>
      </c>
      <c r="I761" s="56">
        <v>-56.276573750000011</v>
      </c>
      <c r="J761" s="148">
        <v>0</v>
      </c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  <c r="AA761" s="57"/>
      <c r="AB761" s="57"/>
      <c r="AC761" s="57"/>
      <c r="AD761" s="57"/>
      <c r="AE761" s="57"/>
      <c r="AF761" s="57"/>
      <c r="AG761" s="57"/>
      <c r="AH761" s="57"/>
      <c r="AI761" s="57"/>
      <c r="AJ761" s="57"/>
      <c r="AK761" s="57"/>
      <c r="AL761" s="57"/>
      <c r="AM761" s="57"/>
      <c r="AN761" s="57"/>
      <c r="AO761" s="57"/>
      <c r="AP761" s="57"/>
      <c r="AQ761" s="57"/>
      <c r="AR761" s="57"/>
      <c r="AS761" s="57"/>
      <c r="AT761" s="57"/>
      <c r="AU761" s="58">
        <f t="shared" si="11"/>
        <v>-56.276573750000011</v>
      </c>
      <c r="AV761" s="58"/>
    </row>
    <row r="762" spans="1:48" ht="13.5" customHeight="1">
      <c r="A762" s="84">
        <v>760</v>
      </c>
      <c r="B762" s="85">
        <v>633</v>
      </c>
      <c r="C762" s="85" t="s">
        <v>39</v>
      </c>
      <c r="D762" s="175">
        <v>-165.01209000000006</v>
      </c>
      <c r="F762" s="45">
        <v>560</v>
      </c>
      <c r="G762" s="45">
        <v>381.08218499999998</v>
      </c>
      <c r="H762" s="56">
        <v>-25.012090000000057</v>
      </c>
      <c r="I762" s="56">
        <v>-25.012090000000057</v>
      </c>
      <c r="J762" s="148">
        <v>0</v>
      </c>
      <c r="K762" s="57">
        <v>80</v>
      </c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  <c r="AA762" s="57"/>
      <c r="AB762" s="57"/>
      <c r="AC762" s="57"/>
      <c r="AD762" s="57"/>
      <c r="AE762" s="57"/>
      <c r="AF762" s="57"/>
      <c r="AG762" s="57"/>
      <c r="AH762" s="57"/>
      <c r="AI762" s="57"/>
      <c r="AJ762" s="57"/>
      <c r="AK762" s="57"/>
      <c r="AL762" s="57">
        <v>60</v>
      </c>
      <c r="AM762" s="57"/>
      <c r="AN762" s="57"/>
      <c r="AO762" s="57"/>
      <c r="AP762" s="57"/>
      <c r="AQ762" s="57"/>
      <c r="AR762" s="57"/>
      <c r="AS762" s="57"/>
      <c r="AT762" s="57"/>
      <c r="AU762" s="58">
        <f t="shared" si="11"/>
        <v>-165.01209000000006</v>
      </c>
      <c r="AV762" s="58"/>
    </row>
    <row r="763" spans="1:48" ht="13.5" customHeight="1">
      <c r="A763" s="82">
        <v>761</v>
      </c>
      <c r="B763" s="85">
        <v>636</v>
      </c>
      <c r="C763" s="85" t="s">
        <v>39</v>
      </c>
      <c r="D763" s="175">
        <v>-68</v>
      </c>
      <c r="F763" s="45">
        <v>882</v>
      </c>
      <c r="G763" s="45">
        <v>938.78200000000004</v>
      </c>
      <c r="H763" s="56">
        <v>-24</v>
      </c>
      <c r="I763" s="56">
        <v>-24</v>
      </c>
      <c r="J763" s="148">
        <v>0</v>
      </c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  <c r="AA763" s="57"/>
      <c r="AB763" s="57"/>
      <c r="AC763" s="57"/>
      <c r="AD763" s="57"/>
      <c r="AE763" s="57"/>
      <c r="AF763" s="57"/>
      <c r="AG763" s="57"/>
      <c r="AH763" s="57"/>
      <c r="AI763" s="57"/>
      <c r="AJ763" s="57">
        <v>20</v>
      </c>
      <c r="AK763" s="57"/>
      <c r="AL763" s="57"/>
      <c r="AM763" s="57"/>
      <c r="AN763" s="57">
        <v>24</v>
      </c>
      <c r="AO763" s="57"/>
      <c r="AP763" s="57"/>
      <c r="AQ763" s="57"/>
      <c r="AR763" s="57"/>
      <c r="AS763" s="57"/>
      <c r="AT763" s="57"/>
      <c r="AU763" s="58">
        <f t="shared" si="11"/>
        <v>-68</v>
      </c>
      <c r="AV763" s="58"/>
    </row>
    <row r="764" spans="1:48" ht="13.5" customHeight="1">
      <c r="A764" s="84">
        <v>762</v>
      </c>
      <c r="B764" s="85">
        <v>637</v>
      </c>
      <c r="C764" s="85" t="s">
        <v>39</v>
      </c>
      <c r="D764" s="175">
        <v>-37.744000000000028</v>
      </c>
      <c r="F764" s="45">
        <v>882</v>
      </c>
      <c r="G764" s="45">
        <v>914</v>
      </c>
      <c r="H764" s="56">
        <v>-37.744000000000028</v>
      </c>
      <c r="I764" s="56">
        <v>-37.744000000000028</v>
      </c>
      <c r="J764" s="148">
        <v>0</v>
      </c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  <c r="AA764" s="57"/>
      <c r="AB764" s="57"/>
      <c r="AC764" s="57"/>
      <c r="AD764" s="57"/>
      <c r="AE764" s="57"/>
      <c r="AF764" s="57"/>
      <c r="AG764" s="57"/>
      <c r="AH764" s="57"/>
      <c r="AI764" s="57"/>
      <c r="AJ764" s="57"/>
      <c r="AK764" s="57"/>
      <c r="AL764" s="57"/>
      <c r="AM764" s="57"/>
      <c r="AN764" s="57"/>
      <c r="AO764" s="57"/>
      <c r="AP764" s="57"/>
      <c r="AQ764" s="57"/>
      <c r="AR764" s="57"/>
      <c r="AS764" s="57"/>
      <c r="AT764" s="57"/>
      <c r="AU764" s="58">
        <f t="shared" si="11"/>
        <v>-37.744000000000028</v>
      </c>
      <c r="AV764" s="58"/>
    </row>
    <row r="765" spans="1:48" ht="13.5" customHeight="1">
      <c r="A765" s="84">
        <v>763</v>
      </c>
      <c r="B765" s="85">
        <v>638</v>
      </c>
      <c r="C765" s="85" t="s">
        <v>39</v>
      </c>
      <c r="D765" s="175">
        <v>-132.92246</v>
      </c>
      <c r="F765" s="45">
        <v>882</v>
      </c>
      <c r="G765" s="45">
        <v>871.26359999999988</v>
      </c>
      <c r="H765" s="56">
        <v>47.077539999999999</v>
      </c>
      <c r="I765" s="56">
        <v>47.077539999999999</v>
      </c>
      <c r="J765" s="148">
        <v>0</v>
      </c>
      <c r="K765" s="57"/>
      <c r="L765" s="57"/>
      <c r="M765" s="57"/>
      <c r="N765" s="57"/>
      <c r="O765" s="57"/>
      <c r="P765" s="57"/>
      <c r="Q765" s="57">
        <v>45</v>
      </c>
      <c r="R765" s="57"/>
      <c r="S765" s="57"/>
      <c r="T765" s="57">
        <v>75</v>
      </c>
      <c r="U765" s="57">
        <v>60</v>
      </c>
      <c r="V765" s="57"/>
      <c r="W765" s="57"/>
      <c r="X765" s="57"/>
      <c r="Y765" s="57"/>
      <c r="Z765" s="57"/>
      <c r="AA765" s="57"/>
      <c r="AB765" s="57"/>
      <c r="AC765" s="57"/>
      <c r="AD765" s="57"/>
      <c r="AE765" s="57"/>
      <c r="AF765" s="57"/>
      <c r="AG765" s="57"/>
      <c r="AH765" s="57"/>
      <c r="AI765" s="57"/>
      <c r="AJ765" s="57"/>
      <c r="AK765" s="57"/>
      <c r="AL765" s="57"/>
      <c r="AM765" s="57"/>
      <c r="AN765" s="57"/>
      <c r="AO765" s="57"/>
      <c r="AP765" s="57"/>
      <c r="AQ765" s="57"/>
      <c r="AR765" s="57"/>
      <c r="AS765" s="57"/>
      <c r="AT765" s="57"/>
      <c r="AU765" s="58">
        <f t="shared" si="11"/>
        <v>-132.92246</v>
      </c>
      <c r="AV765" s="58"/>
    </row>
    <row r="766" spans="1:48" ht="13.5" customHeight="1">
      <c r="A766" s="82">
        <v>764</v>
      </c>
      <c r="B766" s="85">
        <v>639</v>
      </c>
      <c r="C766" s="85" t="s">
        <v>39</v>
      </c>
      <c r="D766" s="175">
        <v>-39.738849999999957</v>
      </c>
      <c r="F766" s="45">
        <v>882</v>
      </c>
      <c r="G766" s="45">
        <v>862.46536499999991</v>
      </c>
      <c r="H766" s="56">
        <v>-39.738849999999957</v>
      </c>
      <c r="I766" s="56">
        <v>-39.738849999999957</v>
      </c>
      <c r="J766" s="148">
        <v>0</v>
      </c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  <c r="AA766" s="57"/>
      <c r="AB766" s="57"/>
      <c r="AC766" s="57"/>
      <c r="AD766" s="57"/>
      <c r="AE766" s="57"/>
      <c r="AF766" s="57"/>
      <c r="AG766" s="57"/>
      <c r="AH766" s="57"/>
      <c r="AI766" s="57"/>
      <c r="AJ766" s="57"/>
      <c r="AK766" s="57"/>
      <c r="AL766" s="57"/>
      <c r="AM766" s="57"/>
      <c r="AN766" s="57"/>
      <c r="AO766" s="57"/>
      <c r="AP766" s="57"/>
      <c r="AQ766" s="57"/>
      <c r="AR766" s="57"/>
      <c r="AS766" s="57"/>
      <c r="AT766" s="57"/>
      <c r="AU766" s="58">
        <f t="shared" si="11"/>
        <v>-39.738849999999957</v>
      </c>
      <c r="AV766" s="58"/>
    </row>
    <row r="767" spans="1:48" ht="13.5" customHeight="1">
      <c r="A767" s="84">
        <v>765</v>
      </c>
      <c r="B767" s="85">
        <v>640</v>
      </c>
      <c r="C767" s="85" t="s">
        <v>39</v>
      </c>
      <c r="D767" s="175">
        <v>-61.714500000000044</v>
      </c>
      <c r="F767" s="45">
        <v>160</v>
      </c>
      <c r="G767" s="45">
        <v>93.96</v>
      </c>
      <c r="H767" s="56">
        <v>87.285499999999956</v>
      </c>
      <c r="I767" s="56">
        <v>87.285499999999956</v>
      </c>
      <c r="J767" s="148">
        <v>0</v>
      </c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>
        <v>40</v>
      </c>
      <c r="X767" s="57">
        <v>29</v>
      </c>
      <c r="Y767" s="57"/>
      <c r="Z767" s="57"/>
      <c r="AA767" s="57"/>
      <c r="AB767" s="57"/>
      <c r="AC767" s="57"/>
      <c r="AD767" s="57"/>
      <c r="AE767" s="57"/>
      <c r="AF767" s="57"/>
      <c r="AG767" s="57"/>
      <c r="AH767" s="57"/>
      <c r="AI767" s="57"/>
      <c r="AJ767" s="57"/>
      <c r="AK767" s="57"/>
      <c r="AL767" s="57"/>
      <c r="AM767" s="57"/>
      <c r="AN767" s="57"/>
      <c r="AO767" s="57"/>
      <c r="AP767" s="57"/>
      <c r="AQ767" s="57"/>
      <c r="AR767" s="57"/>
      <c r="AS767" s="57">
        <v>80</v>
      </c>
      <c r="AT767" s="57"/>
      <c r="AU767" s="58">
        <f t="shared" si="11"/>
        <v>-61.714500000000044</v>
      </c>
      <c r="AV767" s="58"/>
    </row>
    <row r="768" spans="1:48" ht="13.5" customHeight="1">
      <c r="A768" s="82">
        <v>766</v>
      </c>
      <c r="B768" s="85">
        <v>641</v>
      </c>
      <c r="C768" s="85" t="s">
        <v>39</v>
      </c>
      <c r="D768" s="175">
        <v>-41.705050000000028</v>
      </c>
      <c r="F768" s="45">
        <v>882</v>
      </c>
      <c r="G768" s="45">
        <v>916.63199999999995</v>
      </c>
      <c r="H768" s="56">
        <v>-41.705050000000028</v>
      </c>
      <c r="I768" s="56">
        <v>-41.705050000000028</v>
      </c>
      <c r="J768" s="148">
        <v>0</v>
      </c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  <c r="AA768" s="57"/>
      <c r="AB768" s="57"/>
      <c r="AC768" s="57"/>
      <c r="AD768" s="57"/>
      <c r="AE768" s="57"/>
      <c r="AF768" s="57"/>
      <c r="AG768" s="57"/>
      <c r="AH768" s="57"/>
      <c r="AI768" s="57"/>
      <c r="AJ768" s="57"/>
      <c r="AK768" s="57"/>
      <c r="AL768" s="57"/>
      <c r="AM768" s="57"/>
      <c r="AN768" s="57"/>
      <c r="AO768" s="57"/>
      <c r="AP768" s="57"/>
      <c r="AQ768" s="57"/>
      <c r="AR768" s="57"/>
      <c r="AS768" s="57"/>
      <c r="AT768" s="57"/>
      <c r="AU768" s="58">
        <f t="shared" si="11"/>
        <v>-41.705050000000028</v>
      </c>
      <c r="AV768" s="58"/>
    </row>
    <row r="769" spans="1:48" ht="13.5" customHeight="1">
      <c r="A769" s="84">
        <v>767</v>
      </c>
      <c r="B769" s="85">
        <v>642</v>
      </c>
      <c r="C769" s="85" t="s">
        <v>39</v>
      </c>
      <c r="D769" s="175">
        <v>-191.87760000000003</v>
      </c>
      <c r="F769" s="45">
        <v>250</v>
      </c>
      <c r="G769" s="45">
        <v>204.33864</v>
      </c>
      <c r="H769" s="56">
        <v>-86.877600000000029</v>
      </c>
      <c r="I769" s="56">
        <v>-86.877600000000029</v>
      </c>
      <c r="J769" s="148">
        <v>0</v>
      </c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  <c r="AA769" s="57"/>
      <c r="AB769" s="57"/>
      <c r="AC769" s="57"/>
      <c r="AD769" s="57">
        <v>30</v>
      </c>
      <c r="AE769" s="57"/>
      <c r="AF769" s="57"/>
      <c r="AG769" s="57"/>
      <c r="AH769" s="57"/>
      <c r="AI769" s="57"/>
      <c r="AJ769" s="57"/>
      <c r="AK769" s="57"/>
      <c r="AL769" s="57"/>
      <c r="AM769" s="57"/>
      <c r="AN769" s="57"/>
      <c r="AO769" s="57"/>
      <c r="AP769" s="57"/>
      <c r="AQ769" s="57"/>
      <c r="AR769" s="57"/>
      <c r="AS769" s="57"/>
      <c r="AT769" s="57">
        <v>75</v>
      </c>
      <c r="AU769" s="58">
        <f t="shared" si="11"/>
        <v>-191.87760000000003</v>
      </c>
      <c r="AV769" s="58"/>
    </row>
    <row r="770" spans="1:48" ht="13.5" customHeight="1">
      <c r="A770" s="84">
        <v>768</v>
      </c>
      <c r="B770" s="85">
        <v>644</v>
      </c>
      <c r="C770" s="85" t="s">
        <v>39</v>
      </c>
      <c r="D770" s="175">
        <v>-83.360000000000014</v>
      </c>
      <c r="F770" s="45">
        <v>251.99999999999997</v>
      </c>
      <c r="G770" s="45">
        <v>313.2</v>
      </c>
      <c r="H770" s="56">
        <v>-83.360000000000014</v>
      </c>
      <c r="I770" s="56">
        <v>-83.360000000000014</v>
      </c>
      <c r="J770" s="148">
        <v>0</v>
      </c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  <c r="AA770" s="57"/>
      <c r="AB770" s="57"/>
      <c r="AC770" s="57"/>
      <c r="AD770" s="57"/>
      <c r="AE770" s="57"/>
      <c r="AF770" s="57"/>
      <c r="AG770" s="57"/>
      <c r="AH770" s="57"/>
      <c r="AI770" s="57"/>
      <c r="AJ770" s="57"/>
      <c r="AK770" s="57"/>
      <c r="AL770" s="57"/>
      <c r="AM770" s="57"/>
      <c r="AN770" s="57"/>
      <c r="AO770" s="57"/>
      <c r="AP770" s="57"/>
      <c r="AQ770" s="57"/>
      <c r="AR770" s="57"/>
      <c r="AS770" s="57"/>
      <c r="AT770" s="57"/>
      <c r="AU770" s="58">
        <f t="shared" si="11"/>
        <v>-83.360000000000014</v>
      </c>
      <c r="AV770" s="58"/>
    </row>
    <row r="771" spans="1:48" ht="13.5" customHeight="1">
      <c r="A771" s="82">
        <v>769</v>
      </c>
      <c r="B771" s="85">
        <v>646</v>
      </c>
      <c r="C771" s="85" t="s">
        <v>39</v>
      </c>
      <c r="D771" s="175">
        <v>-93.987200000000144</v>
      </c>
      <c r="F771" s="45">
        <v>400</v>
      </c>
      <c r="G771" s="45">
        <v>258.21600000000001</v>
      </c>
      <c r="H771" s="56">
        <v>-93.987200000000144</v>
      </c>
      <c r="I771" s="56">
        <v>-93.987200000000144</v>
      </c>
      <c r="J771" s="148">
        <v>0</v>
      </c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  <c r="AA771" s="57"/>
      <c r="AB771" s="57"/>
      <c r="AC771" s="57"/>
      <c r="AD771" s="57"/>
      <c r="AE771" s="57"/>
      <c r="AF771" s="57"/>
      <c r="AG771" s="57"/>
      <c r="AH771" s="57"/>
      <c r="AI771" s="57"/>
      <c r="AJ771" s="57"/>
      <c r="AK771" s="57"/>
      <c r="AL771" s="57"/>
      <c r="AM771" s="57"/>
      <c r="AN771" s="57"/>
      <c r="AO771" s="57"/>
      <c r="AP771" s="57"/>
      <c r="AQ771" s="57"/>
      <c r="AR771" s="57"/>
      <c r="AS771" s="57"/>
      <c r="AT771" s="57"/>
      <c r="AU771" s="58">
        <f t="shared" si="11"/>
        <v>-93.987200000000144</v>
      </c>
      <c r="AV771" s="58"/>
    </row>
    <row r="772" spans="1:48" ht="13.5" customHeight="1">
      <c r="A772" s="84">
        <v>770</v>
      </c>
      <c r="B772" s="85">
        <v>650</v>
      </c>
      <c r="C772" s="85" t="s">
        <v>39</v>
      </c>
      <c r="D772" s="175">
        <v>-60.109300000000019</v>
      </c>
      <c r="F772" s="45">
        <v>400</v>
      </c>
      <c r="G772" s="45">
        <v>321.69119999999998</v>
      </c>
      <c r="H772" s="56">
        <v>-60.109300000000019</v>
      </c>
      <c r="I772" s="56">
        <v>-60.109300000000019</v>
      </c>
      <c r="J772" s="148">
        <v>0</v>
      </c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  <c r="AA772" s="57"/>
      <c r="AB772" s="57"/>
      <c r="AC772" s="57"/>
      <c r="AD772" s="57"/>
      <c r="AE772" s="57"/>
      <c r="AF772" s="57"/>
      <c r="AG772" s="57"/>
      <c r="AH772" s="57"/>
      <c r="AI772" s="57"/>
      <c r="AJ772" s="57"/>
      <c r="AK772" s="57"/>
      <c r="AL772" s="57"/>
      <c r="AM772" s="57"/>
      <c r="AN772" s="57"/>
      <c r="AO772" s="57"/>
      <c r="AP772" s="57"/>
      <c r="AQ772" s="57"/>
      <c r="AR772" s="57"/>
      <c r="AS772" s="57"/>
      <c r="AT772" s="57"/>
      <c r="AU772" s="58">
        <f t="shared" ref="AU772:AU835" si="12">I772-J772-K772-L772-M772-N772-O772-P772-Q772-R772-S772-T772-U772-V772-W772-X772-Y772-Z772-AA772-AB772-AC772-AD772-AE772-AF772-AG772-AH772-AI772-AJ772-AK772-AL772-AM772-AN772-AO772-AP772-AQ772-AR772-AS772-AT772</f>
        <v>-60.109300000000019</v>
      </c>
      <c r="AV772" s="58"/>
    </row>
    <row r="773" spans="1:48" ht="13.5" customHeight="1">
      <c r="A773" s="82">
        <v>771</v>
      </c>
      <c r="B773" s="85">
        <v>656</v>
      </c>
      <c r="C773" s="85" t="s">
        <v>39</v>
      </c>
      <c r="D773" s="175">
        <v>-150</v>
      </c>
      <c r="F773" s="45">
        <v>882</v>
      </c>
      <c r="G773" s="45">
        <v>793.47066749999988</v>
      </c>
      <c r="H773" s="56">
        <v>-150</v>
      </c>
      <c r="I773" s="56">
        <v>-150</v>
      </c>
      <c r="J773" s="148">
        <v>0</v>
      </c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  <c r="AA773" s="57"/>
      <c r="AB773" s="57"/>
      <c r="AC773" s="57"/>
      <c r="AD773" s="57"/>
      <c r="AE773" s="57"/>
      <c r="AF773" s="57"/>
      <c r="AG773" s="57"/>
      <c r="AH773" s="57"/>
      <c r="AI773" s="57"/>
      <c r="AJ773" s="57"/>
      <c r="AK773" s="57"/>
      <c r="AL773" s="57"/>
      <c r="AM773" s="57"/>
      <c r="AN773" s="57"/>
      <c r="AO773" s="57"/>
      <c r="AP773" s="57"/>
      <c r="AQ773" s="57"/>
      <c r="AR773" s="57"/>
      <c r="AS773" s="57"/>
      <c r="AT773" s="57"/>
      <c r="AU773" s="58">
        <f t="shared" si="12"/>
        <v>-150</v>
      </c>
      <c r="AV773" s="58"/>
    </row>
    <row r="774" spans="1:48" ht="13.5" customHeight="1">
      <c r="A774" s="84">
        <v>772</v>
      </c>
      <c r="B774" s="85">
        <v>661</v>
      </c>
      <c r="C774" s="85" t="s">
        <v>39</v>
      </c>
      <c r="D774" s="175">
        <v>-959.09999999999991</v>
      </c>
      <c r="F774" s="45">
        <v>560</v>
      </c>
      <c r="G774" s="45">
        <v>625</v>
      </c>
      <c r="H774" s="56">
        <v>3.2000000000000455</v>
      </c>
      <c r="I774" s="56">
        <v>3.2000000000000455</v>
      </c>
      <c r="J774" s="148">
        <v>0</v>
      </c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>
        <v>762.3</v>
      </c>
      <c r="Y774" s="57"/>
      <c r="Z774" s="57"/>
      <c r="AA774" s="57"/>
      <c r="AB774" s="57"/>
      <c r="AC774" s="57"/>
      <c r="AD774" s="57"/>
      <c r="AE774" s="57"/>
      <c r="AF774" s="57"/>
      <c r="AG774" s="57"/>
      <c r="AH774" s="57"/>
      <c r="AI774" s="57"/>
      <c r="AJ774" s="57"/>
      <c r="AK774" s="57">
        <v>200</v>
      </c>
      <c r="AL774" s="57"/>
      <c r="AM774" s="57"/>
      <c r="AN774" s="57"/>
      <c r="AO774" s="57"/>
      <c r="AP774" s="57"/>
      <c r="AQ774" s="57"/>
      <c r="AR774" s="57"/>
      <c r="AS774" s="57"/>
      <c r="AT774" s="57"/>
      <c r="AU774" s="58">
        <f t="shared" si="12"/>
        <v>-959.09999999999991</v>
      </c>
      <c r="AV774" s="58"/>
    </row>
    <row r="775" spans="1:48" ht="13.5" customHeight="1">
      <c r="A775" s="84">
        <v>773</v>
      </c>
      <c r="B775" s="85">
        <v>666</v>
      </c>
      <c r="C775" s="85" t="s">
        <v>39</v>
      </c>
      <c r="D775" s="175">
        <v>318.48799999999994</v>
      </c>
      <c r="F775" s="45">
        <v>882</v>
      </c>
      <c r="G775" s="45">
        <v>931.27758000000017</v>
      </c>
      <c r="H775" s="56">
        <v>318.48799999999994</v>
      </c>
      <c r="I775" s="56">
        <v>318.48799999999994</v>
      </c>
      <c r="J775" s="148">
        <v>0</v>
      </c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  <c r="AA775" s="57"/>
      <c r="AB775" s="57"/>
      <c r="AC775" s="57"/>
      <c r="AD775" s="57"/>
      <c r="AE775" s="57"/>
      <c r="AF775" s="57"/>
      <c r="AG775" s="57"/>
      <c r="AH775" s="57"/>
      <c r="AI775" s="57"/>
      <c r="AJ775" s="57"/>
      <c r="AK775" s="57"/>
      <c r="AL775" s="57"/>
      <c r="AM775" s="57"/>
      <c r="AN775" s="57"/>
      <c r="AO775" s="57"/>
      <c r="AP775" s="57"/>
      <c r="AQ775" s="57"/>
      <c r="AR775" s="57"/>
      <c r="AS775" s="57"/>
      <c r="AT775" s="57"/>
      <c r="AU775" s="58">
        <f t="shared" si="12"/>
        <v>318.48799999999994</v>
      </c>
      <c r="AV775" s="58"/>
    </row>
    <row r="776" spans="1:48" ht="13.5" customHeight="1">
      <c r="A776" s="82">
        <v>774</v>
      </c>
      <c r="B776" s="85">
        <v>667</v>
      </c>
      <c r="C776" s="85" t="s">
        <v>39</v>
      </c>
      <c r="D776" s="175">
        <v>-33</v>
      </c>
      <c r="F776" s="45">
        <v>400</v>
      </c>
      <c r="G776" s="45">
        <v>224.85149999999999</v>
      </c>
      <c r="H776" s="56">
        <v>-33</v>
      </c>
      <c r="I776" s="56">
        <v>-33</v>
      </c>
      <c r="J776" s="148">
        <v>0</v>
      </c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  <c r="AA776" s="57"/>
      <c r="AB776" s="57"/>
      <c r="AC776" s="57"/>
      <c r="AD776" s="57"/>
      <c r="AE776" s="57"/>
      <c r="AF776" s="57"/>
      <c r="AG776" s="57"/>
      <c r="AH776" s="57"/>
      <c r="AI776" s="57"/>
      <c r="AJ776" s="57"/>
      <c r="AK776" s="57"/>
      <c r="AL776" s="57"/>
      <c r="AM776" s="57"/>
      <c r="AN776" s="57"/>
      <c r="AO776" s="57"/>
      <c r="AP776" s="57"/>
      <c r="AQ776" s="57"/>
      <c r="AR776" s="57"/>
      <c r="AS776" s="57"/>
      <c r="AT776" s="57"/>
      <c r="AU776" s="58">
        <f t="shared" si="12"/>
        <v>-33</v>
      </c>
      <c r="AV776" s="58"/>
    </row>
    <row r="777" spans="1:48" ht="13.5" customHeight="1">
      <c r="A777" s="84">
        <v>775</v>
      </c>
      <c r="B777" s="85">
        <v>671</v>
      </c>
      <c r="C777" s="85" t="s">
        <v>39</v>
      </c>
      <c r="D777" s="175">
        <v>-50</v>
      </c>
      <c r="F777" s="45">
        <v>882</v>
      </c>
      <c r="G777" s="45">
        <v>887.88275200000032</v>
      </c>
      <c r="H777" s="56">
        <v>-50</v>
      </c>
      <c r="I777" s="56">
        <v>-50</v>
      </c>
      <c r="J777" s="148">
        <v>0</v>
      </c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  <c r="AA777" s="57"/>
      <c r="AB777" s="57"/>
      <c r="AC777" s="57"/>
      <c r="AD777" s="57"/>
      <c r="AE777" s="57"/>
      <c r="AF777" s="57"/>
      <c r="AG777" s="57"/>
      <c r="AH777" s="57"/>
      <c r="AI777" s="57"/>
      <c r="AJ777" s="57"/>
      <c r="AK777" s="57"/>
      <c r="AL777" s="57"/>
      <c r="AM777" s="57"/>
      <c r="AN777" s="57"/>
      <c r="AO777" s="57"/>
      <c r="AP777" s="57"/>
      <c r="AQ777" s="57"/>
      <c r="AR777" s="57"/>
      <c r="AS777" s="57"/>
      <c r="AT777" s="57"/>
      <c r="AU777" s="58">
        <f t="shared" si="12"/>
        <v>-50</v>
      </c>
      <c r="AV777" s="58"/>
    </row>
    <row r="778" spans="1:48" ht="13.5" customHeight="1">
      <c r="A778" s="82">
        <v>776</v>
      </c>
      <c r="B778" s="85">
        <v>672</v>
      </c>
      <c r="C778" s="85" t="s">
        <v>39</v>
      </c>
      <c r="D778" s="175">
        <v>-256.995</v>
      </c>
      <c r="F778" s="45">
        <v>882</v>
      </c>
      <c r="G778" s="45">
        <v>753.55387124999993</v>
      </c>
      <c r="H778" s="56">
        <v>-106.995</v>
      </c>
      <c r="I778" s="56">
        <v>-106.995</v>
      </c>
      <c r="J778" s="148">
        <v>0</v>
      </c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  <c r="AA778" s="57"/>
      <c r="AB778" s="57"/>
      <c r="AC778" s="57"/>
      <c r="AD778" s="57"/>
      <c r="AE778" s="57"/>
      <c r="AF778" s="57"/>
      <c r="AG778" s="57"/>
      <c r="AH778" s="57"/>
      <c r="AI778" s="57"/>
      <c r="AJ778" s="57"/>
      <c r="AK778" s="57"/>
      <c r="AL778" s="57"/>
      <c r="AM778" s="57"/>
      <c r="AN778" s="57">
        <v>150</v>
      </c>
      <c r="AO778" s="57"/>
      <c r="AP778" s="57"/>
      <c r="AQ778" s="57"/>
      <c r="AR778" s="57"/>
      <c r="AS778" s="57"/>
      <c r="AT778" s="57"/>
      <c r="AU778" s="58">
        <f t="shared" si="12"/>
        <v>-256.995</v>
      </c>
      <c r="AV778" s="58"/>
    </row>
    <row r="779" spans="1:48" ht="13.5" customHeight="1">
      <c r="A779" s="84">
        <v>777</v>
      </c>
      <c r="B779" s="85">
        <v>673</v>
      </c>
      <c r="C779" s="85" t="s">
        <v>39</v>
      </c>
      <c r="D779" s="175">
        <v>240.66881750000005</v>
      </c>
      <c r="F779" s="45">
        <v>630</v>
      </c>
      <c r="G779" s="45">
        <v>470.06099999999998</v>
      </c>
      <c r="H779" s="56">
        <v>340.66881750000005</v>
      </c>
      <c r="I779" s="56">
        <v>340.66881750000005</v>
      </c>
      <c r="J779" s="148">
        <v>0</v>
      </c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>
        <v>100</v>
      </c>
      <c r="Y779" s="57"/>
      <c r="Z779" s="57"/>
      <c r="AA779" s="57"/>
      <c r="AB779" s="57"/>
      <c r="AC779" s="57"/>
      <c r="AD779" s="57"/>
      <c r="AE779" s="57"/>
      <c r="AF779" s="57"/>
      <c r="AG779" s="57"/>
      <c r="AH779" s="57"/>
      <c r="AI779" s="57"/>
      <c r="AJ779" s="57"/>
      <c r="AK779" s="57"/>
      <c r="AL779" s="57"/>
      <c r="AM779" s="57"/>
      <c r="AN779" s="57"/>
      <c r="AO779" s="57"/>
      <c r="AP779" s="57"/>
      <c r="AQ779" s="57"/>
      <c r="AR779" s="57"/>
      <c r="AS779" s="57"/>
      <c r="AT779" s="57"/>
      <c r="AU779" s="58">
        <f t="shared" si="12"/>
        <v>240.66881750000005</v>
      </c>
      <c r="AV779" s="58"/>
    </row>
    <row r="780" spans="1:48" ht="13.5" customHeight="1">
      <c r="A780" s="84">
        <v>778</v>
      </c>
      <c r="B780" s="85">
        <v>674</v>
      </c>
      <c r="C780" s="85" t="s">
        <v>39</v>
      </c>
      <c r="D780" s="175">
        <v>121.01806875</v>
      </c>
      <c r="F780" s="45">
        <v>630</v>
      </c>
      <c r="G780" s="45">
        <v>484.61588250000005</v>
      </c>
      <c r="H780" s="56">
        <v>121.01806875</v>
      </c>
      <c r="I780" s="56">
        <v>121.01806875</v>
      </c>
      <c r="J780" s="148">
        <v>0</v>
      </c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  <c r="AA780" s="57"/>
      <c r="AB780" s="57"/>
      <c r="AC780" s="57"/>
      <c r="AD780" s="57"/>
      <c r="AE780" s="57"/>
      <c r="AF780" s="57"/>
      <c r="AG780" s="57"/>
      <c r="AH780" s="57"/>
      <c r="AI780" s="57"/>
      <c r="AJ780" s="57"/>
      <c r="AK780" s="57"/>
      <c r="AL780" s="57"/>
      <c r="AM780" s="57"/>
      <c r="AN780" s="57"/>
      <c r="AO780" s="57"/>
      <c r="AP780" s="57"/>
      <c r="AQ780" s="57"/>
      <c r="AR780" s="57"/>
      <c r="AS780" s="57"/>
      <c r="AT780" s="57"/>
      <c r="AU780" s="58">
        <f t="shared" si="12"/>
        <v>121.01806875</v>
      </c>
      <c r="AV780" s="58"/>
    </row>
    <row r="781" spans="1:48" ht="13.5" customHeight="1">
      <c r="A781" s="82">
        <v>779</v>
      </c>
      <c r="B781" s="85">
        <v>675</v>
      </c>
      <c r="C781" s="85" t="s">
        <v>39</v>
      </c>
      <c r="D781" s="175">
        <v>-112.38593000000003</v>
      </c>
      <c r="F781" s="45">
        <v>882</v>
      </c>
      <c r="G781" s="45">
        <v>724.61429999999996</v>
      </c>
      <c r="H781" s="56">
        <v>-112.38593000000003</v>
      </c>
      <c r="I781" s="56">
        <v>-112.38593000000003</v>
      </c>
      <c r="J781" s="148">
        <v>0</v>
      </c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  <c r="AA781" s="57"/>
      <c r="AB781" s="57"/>
      <c r="AC781" s="57"/>
      <c r="AD781" s="57"/>
      <c r="AE781" s="57"/>
      <c r="AF781" s="57"/>
      <c r="AG781" s="57"/>
      <c r="AH781" s="57"/>
      <c r="AI781" s="57"/>
      <c r="AJ781" s="57"/>
      <c r="AK781" s="57"/>
      <c r="AL781" s="57"/>
      <c r="AM781" s="57"/>
      <c r="AN781" s="57"/>
      <c r="AO781" s="57"/>
      <c r="AP781" s="57"/>
      <c r="AQ781" s="57"/>
      <c r="AR781" s="57"/>
      <c r="AS781" s="57"/>
      <c r="AT781" s="57"/>
      <c r="AU781" s="58">
        <f t="shared" si="12"/>
        <v>-112.38593000000003</v>
      </c>
      <c r="AV781" s="58"/>
    </row>
    <row r="782" spans="1:48" ht="13.5" customHeight="1">
      <c r="A782" s="84">
        <v>780</v>
      </c>
      <c r="B782" s="85">
        <v>676</v>
      </c>
      <c r="C782" s="85" t="s">
        <v>39</v>
      </c>
      <c r="D782" s="175">
        <v>-113.41644249999996</v>
      </c>
      <c r="F782" s="45">
        <v>560</v>
      </c>
      <c r="G782" s="45">
        <v>588</v>
      </c>
      <c r="H782" s="56">
        <v>-34.41644249999996</v>
      </c>
      <c r="I782" s="56">
        <v>-34.41644249999996</v>
      </c>
      <c r="J782" s="148">
        <v>0</v>
      </c>
      <c r="K782" s="57"/>
      <c r="L782" s="57"/>
      <c r="M782" s="57"/>
      <c r="N782" s="57"/>
      <c r="O782" s="57"/>
      <c r="P782" s="57">
        <v>35</v>
      </c>
      <c r="Q782" s="57">
        <v>44</v>
      </c>
      <c r="R782" s="57"/>
      <c r="S782" s="57"/>
      <c r="T782" s="57"/>
      <c r="U782" s="57"/>
      <c r="V782" s="57"/>
      <c r="W782" s="57"/>
      <c r="X782" s="57"/>
      <c r="Y782" s="57"/>
      <c r="Z782" s="57"/>
      <c r="AA782" s="57"/>
      <c r="AB782" s="57"/>
      <c r="AC782" s="57"/>
      <c r="AD782" s="57"/>
      <c r="AE782" s="57"/>
      <c r="AF782" s="57"/>
      <c r="AG782" s="57"/>
      <c r="AH782" s="57"/>
      <c r="AI782" s="57"/>
      <c r="AJ782" s="57"/>
      <c r="AK782" s="57"/>
      <c r="AL782" s="57"/>
      <c r="AM782" s="57"/>
      <c r="AN782" s="57"/>
      <c r="AO782" s="57"/>
      <c r="AP782" s="57"/>
      <c r="AQ782" s="57"/>
      <c r="AR782" s="57"/>
      <c r="AS782" s="57"/>
      <c r="AT782" s="57"/>
      <c r="AU782" s="58">
        <f t="shared" si="12"/>
        <v>-113.41644249999996</v>
      </c>
      <c r="AV782" s="58"/>
    </row>
    <row r="783" spans="1:48" ht="13.5" customHeight="1">
      <c r="A783" s="82">
        <v>781</v>
      </c>
      <c r="B783" s="85">
        <v>677</v>
      </c>
      <c r="C783" s="85" t="s">
        <v>39</v>
      </c>
      <c r="D783" s="175">
        <v>-67.270200000000045</v>
      </c>
      <c r="F783" s="45">
        <v>882</v>
      </c>
      <c r="G783" s="45">
        <v>953.16620000000023</v>
      </c>
      <c r="H783" s="56">
        <v>-67.270200000000045</v>
      </c>
      <c r="I783" s="56">
        <v>-67.270200000000045</v>
      </c>
      <c r="J783" s="148">
        <v>0</v>
      </c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  <c r="AA783" s="57"/>
      <c r="AB783" s="57"/>
      <c r="AC783" s="57"/>
      <c r="AD783" s="57"/>
      <c r="AE783" s="57"/>
      <c r="AF783" s="57"/>
      <c r="AG783" s="57"/>
      <c r="AH783" s="57"/>
      <c r="AI783" s="57"/>
      <c r="AJ783" s="57"/>
      <c r="AK783" s="57"/>
      <c r="AL783" s="57"/>
      <c r="AM783" s="57"/>
      <c r="AN783" s="57"/>
      <c r="AO783" s="57"/>
      <c r="AP783" s="57"/>
      <c r="AQ783" s="57"/>
      <c r="AR783" s="57"/>
      <c r="AS783" s="57"/>
      <c r="AT783" s="57"/>
      <c r="AU783" s="58">
        <f t="shared" si="12"/>
        <v>-67.270200000000045</v>
      </c>
      <c r="AV783" s="58"/>
    </row>
    <row r="784" spans="1:48" ht="13.5" customHeight="1">
      <c r="A784" s="84">
        <v>782</v>
      </c>
      <c r="B784" s="85">
        <v>678</v>
      </c>
      <c r="C784" s="85" t="s">
        <v>39</v>
      </c>
      <c r="D784" s="175">
        <v>1.6777574999999842</v>
      </c>
      <c r="F784" s="45">
        <v>400</v>
      </c>
      <c r="G784" s="45">
        <v>296.16539999999998</v>
      </c>
      <c r="H784" s="56">
        <v>76.677757499999984</v>
      </c>
      <c r="I784" s="56">
        <v>76.677757499999984</v>
      </c>
      <c r="J784" s="148">
        <v>0</v>
      </c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  <c r="AA784" s="57"/>
      <c r="AB784" s="57"/>
      <c r="AC784" s="57"/>
      <c r="AD784" s="57"/>
      <c r="AE784" s="57"/>
      <c r="AF784" s="57">
        <v>75</v>
      </c>
      <c r="AG784" s="57"/>
      <c r="AH784" s="57"/>
      <c r="AI784" s="57"/>
      <c r="AJ784" s="57"/>
      <c r="AK784" s="57"/>
      <c r="AL784" s="57"/>
      <c r="AM784" s="57"/>
      <c r="AN784" s="57"/>
      <c r="AO784" s="57"/>
      <c r="AP784" s="57"/>
      <c r="AQ784" s="57"/>
      <c r="AR784" s="57"/>
      <c r="AS784" s="57"/>
      <c r="AT784" s="57"/>
      <c r="AU784" s="58">
        <f t="shared" si="12"/>
        <v>1.6777574999999842</v>
      </c>
      <c r="AV784" s="58"/>
    </row>
    <row r="785" spans="1:48" ht="13.5" customHeight="1">
      <c r="A785" s="84">
        <v>783</v>
      </c>
      <c r="B785" s="85">
        <v>680</v>
      </c>
      <c r="C785" s="85" t="s">
        <v>39</v>
      </c>
      <c r="D785" s="175">
        <v>434</v>
      </c>
      <c r="F785" s="45">
        <v>882</v>
      </c>
      <c r="G785" s="45">
        <v>901.58023875000003</v>
      </c>
      <c r="H785" s="56">
        <v>434</v>
      </c>
      <c r="I785" s="56">
        <v>434</v>
      </c>
      <c r="J785" s="148">
        <v>0</v>
      </c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  <c r="AA785" s="57"/>
      <c r="AB785" s="57"/>
      <c r="AC785" s="57"/>
      <c r="AD785" s="57"/>
      <c r="AE785" s="57"/>
      <c r="AF785" s="57"/>
      <c r="AG785" s="57"/>
      <c r="AH785" s="57"/>
      <c r="AI785" s="57"/>
      <c r="AJ785" s="57"/>
      <c r="AK785" s="57"/>
      <c r="AL785" s="57"/>
      <c r="AM785" s="57"/>
      <c r="AN785" s="57"/>
      <c r="AO785" s="57"/>
      <c r="AP785" s="57"/>
      <c r="AQ785" s="57"/>
      <c r="AR785" s="57"/>
      <c r="AS785" s="57"/>
      <c r="AT785" s="57"/>
      <c r="AU785" s="58">
        <f t="shared" si="12"/>
        <v>434</v>
      </c>
      <c r="AV785" s="58"/>
    </row>
    <row r="786" spans="1:48" ht="13.5" customHeight="1">
      <c r="A786" s="82">
        <v>784</v>
      </c>
      <c r="B786" s="85">
        <v>683</v>
      </c>
      <c r="C786" s="85" t="s">
        <v>39</v>
      </c>
      <c r="D786" s="175">
        <v>-856.66960000000006</v>
      </c>
      <c r="F786" s="45">
        <v>882</v>
      </c>
      <c r="G786" s="45">
        <v>490.15799999999996</v>
      </c>
      <c r="H786" s="56">
        <v>-68.169600000000059</v>
      </c>
      <c r="I786" s="56">
        <v>-68.169600000000059</v>
      </c>
      <c r="J786" s="148">
        <v>0</v>
      </c>
      <c r="K786" s="57"/>
      <c r="L786" s="57"/>
      <c r="M786" s="57"/>
      <c r="N786" s="57"/>
      <c r="O786" s="57">
        <v>314</v>
      </c>
      <c r="P786" s="57"/>
      <c r="Q786" s="57">
        <v>120</v>
      </c>
      <c r="R786" s="57">
        <v>64</v>
      </c>
      <c r="S786" s="57"/>
      <c r="T786" s="57"/>
      <c r="U786" s="57"/>
      <c r="V786" s="57"/>
      <c r="W786" s="57"/>
      <c r="X786" s="57"/>
      <c r="Y786" s="57">
        <v>170.5</v>
      </c>
      <c r="Z786" s="57"/>
      <c r="AA786" s="57"/>
      <c r="AB786" s="57">
        <v>120</v>
      </c>
      <c r="AC786" s="57"/>
      <c r="AD786" s="57"/>
      <c r="AE786" s="57"/>
      <c r="AF786" s="57"/>
      <c r="AG786" s="57"/>
      <c r="AH786" s="57"/>
      <c r="AI786" s="57"/>
      <c r="AJ786" s="57"/>
      <c r="AK786" s="57"/>
      <c r="AL786" s="57"/>
      <c r="AM786" s="57"/>
      <c r="AN786" s="57"/>
      <c r="AO786" s="57"/>
      <c r="AP786" s="57"/>
      <c r="AQ786" s="57"/>
      <c r="AR786" s="57"/>
      <c r="AS786" s="57"/>
      <c r="AT786" s="57"/>
      <c r="AU786" s="58">
        <f t="shared" si="12"/>
        <v>-856.66960000000006</v>
      </c>
      <c r="AV786" s="58"/>
    </row>
    <row r="787" spans="1:48" ht="13.5" customHeight="1">
      <c r="A787" s="84">
        <v>785</v>
      </c>
      <c r="B787" s="85">
        <v>687</v>
      </c>
      <c r="C787" s="85" t="s">
        <v>39</v>
      </c>
      <c r="D787" s="175">
        <v>4.9706175000001167</v>
      </c>
      <c r="F787" s="45">
        <v>882</v>
      </c>
      <c r="G787" s="45">
        <v>876.96</v>
      </c>
      <c r="H787" s="56">
        <v>4.9706175000001167</v>
      </c>
      <c r="I787" s="56">
        <v>4.9706175000001167</v>
      </c>
      <c r="J787" s="148">
        <v>0</v>
      </c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  <c r="AA787" s="57"/>
      <c r="AB787" s="57"/>
      <c r="AC787" s="57"/>
      <c r="AD787" s="57"/>
      <c r="AE787" s="57"/>
      <c r="AF787" s="57"/>
      <c r="AG787" s="57"/>
      <c r="AH787" s="57"/>
      <c r="AI787" s="57"/>
      <c r="AJ787" s="57"/>
      <c r="AK787" s="57"/>
      <c r="AL787" s="57"/>
      <c r="AM787" s="57"/>
      <c r="AN787" s="57"/>
      <c r="AO787" s="57"/>
      <c r="AP787" s="57"/>
      <c r="AQ787" s="57"/>
      <c r="AR787" s="57"/>
      <c r="AS787" s="57"/>
      <c r="AT787" s="57"/>
      <c r="AU787" s="58">
        <f t="shared" si="12"/>
        <v>4.9706175000001167</v>
      </c>
      <c r="AV787" s="58"/>
    </row>
    <row r="788" spans="1:48" ht="13.5" customHeight="1">
      <c r="A788" s="82">
        <v>786</v>
      </c>
      <c r="B788" s="85">
        <v>688</v>
      </c>
      <c r="C788" s="85" t="s">
        <v>39</v>
      </c>
      <c r="D788" s="175">
        <v>-66.934842500000059</v>
      </c>
      <c r="F788" s="45">
        <v>882</v>
      </c>
      <c r="G788" s="45">
        <v>876.96</v>
      </c>
      <c r="H788" s="56">
        <v>-66.934842500000059</v>
      </c>
      <c r="I788" s="56">
        <v>-66.934842500000059</v>
      </c>
      <c r="J788" s="148">
        <v>0</v>
      </c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7"/>
      <c r="AC788" s="57"/>
      <c r="AD788" s="57"/>
      <c r="AE788" s="57"/>
      <c r="AF788" s="57"/>
      <c r="AG788" s="57"/>
      <c r="AH788" s="57"/>
      <c r="AI788" s="57"/>
      <c r="AJ788" s="57"/>
      <c r="AK788" s="57"/>
      <c r="AL788" s="57"/>
      <c r="AM788" s="57"/>
      <c r="AN788" s="57"/>
      <c r="AO788" s="57"/>
      <c r="AP788" s="57"/>
      <c r="AQ788" s="57"/>
      <c r="AR788" s="57"/>
      <c r="AS788" s="57"/>
      <c r="AT788" s="57"/>
      <c r="AU788" s="58">
        <f t="shared" si="12"/>
        <v>-66.934842500000059</v>
      </c>
      <c r="AV788" s="58"/>
    </row>
    <row r="789" spans="1:48" ht="13.5" customHeight="1">
      <c r="A789" s="84">
        <v>787</v>
      </c>
      <c r="B789" s="85">
        <v>689</v>
      </c>
      <c r="C789" s="85" t="s">
        <v>39</v>
      </c>
      <c r="D789" s="175">
        <v>-24.579150000000027</v>
      </c>
      <c r="F789" s="45">
        <v>400</v>
      </c>
      <c r="G789" s="45">
        <v>462</v>
      </c>
      <c r="H789" s="56">
        <v>-24.579150000000027</v>
      </c>
      <c r="I789" s="56">
        <v>-24.579150000000027</v>
      </c>
      <c r="J789" s="148">
        <v>0</v>
      </c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7"/>
      <c r="AC789" s="57"/>
      <c r="AD789" s="57"/>
      <c r="AE789" s="57"/>
      <c r="AF789" s="57"/>
      <c r="AG789" s="57"/>
      <c r="AH789" s="57"/>
      <c r="AI789" s="57"/>
      <c r="AJ789" s="57"/>
      <c r="AK789" s="57"/>
      <c r="AL789" s="57"/>
      <c r="AM789" s="57"/>
      <c r="AN789" s="57"/>
      <c r="AO789" s="57"/>
      <c r="AP789" s="57"/>
      <c r="AQ789" s="57"/>
      <c r="AR789" s="57"/>
      <c r="AS789" s="57"/>
      <c r="AT789" s="57"/>
      <c r="AU789" s="58">
        <f t="shared" si="12"/>
        <v>-24.579150000000027</v>
      </c>
      <c r="AV789" s="58"/>
    </row>
    <row r="790" spans="1:48" ht="13.5" customHeight="1">
      <c r="A790" s="84">
        <v>788</v>
      </c>
      <c r="B790" s="85">
        <v>695</v>
      </c>
      <c r="C790" s="85" t="s">
        <v>39</v>
      </c>
      <c r="D790" s="175">
        <v>33</v>
      </c>
      <c r="F790" s="45">
        <v>251.99999999999997</v>
      </c>
      <c r="G790" s="45">
        <v>207.06</v>
      </c>
      <c r="H790" s="56">
        <v>263</v>
      </c>
      <c r="I790" s="56">
        <v>263</v>
      </c>
      <c r="J790" s="148">
        <v>0</v>
      </c>
      <c r="K790" s="57"/>
      <c r="L790" s="57"/>
      <c r="M790" s="57"/>
      <c r="N790" s="57">
        <v>230</v>
      </c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  <c r="AA790" s="57"/>
      <c r="AB790" s="57"/>
      <c r="AC790" s="57"/>
      <c r="AD790" s="57"/>
      <c r="AE790" s="57"/>
      <c r="AF790" s="57"/>
      <c r="AG790" s="57"/>
      <c r="AH790" s="57"/>
      <c r="AI790" s="57"/>
      <c r="AJ790" s="57"/>
      <c r="AK790" s="57"/>
      <c r="AL790" s="57"/>
      <c r="AM790" s="57"/>
      <c r="AN790" s="57"/>
      <c r="AO790" s="57"/>
      <c r="AP790" s="57"/>
      <c r="AQ790" s="57"/>
      <c r="AR790" s="57"/>
      <c r="AS790" s="57"/>
      <c r="AT790" s="57"/>
      <c r="AU790" s="58">
        <f t="shared" si="12"/>
        <v>33</v>
      </c>
      <c r="AV790" s="58"/>
    </row>
    <row r="791" spans="1:48" ht="13.5" customHeight="1">
      <c r="A791" s="82">
        <v>789</v>
      </c>
      <c r="B791" s="85">
        <v>696</v>
      </c>
      <c r="C791" s="85" t="s">
        <v>39</v>
      </c>
      <c r="D791" s="175">
        <v>-52.071599999999989</v>
      </c>
      <c r="F791" s="45">
        <v>400</v>
      </c>
      <c r="G791" s="45">
        <v>170.72880000000001</v>
      </c>
      <c r="H791" s="56">
        <v>-52.071599999999989</v>
      </c>
      <c r="I791" s="56">
        <v>-52.071599999999989</v>
      </c>
      <c r="J791" s="148">
        <v>0</v>
      </c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  <c r="AA791" s="57"/>
      <c r="AB791" s="57"/>
      <c r="AC791" s="57"/>
      <c r="AD791" s="57"/>
      <c r="AE791" s="57"/>
      <c r="AF791" s="57"/>
      <c r="AG791" s="57"/>
      <c r="AH791" s="57"/>
      <c r="AI791" s="57"/>
      <c r="AJ791" s="57"/>
      <c r="AK791" s="57"/>
      <c r="AL791" s="57"/>
      <c r="AM791" s="57"/>
      <c r="AN791" s="57"/>
      <c r="AO791" s="57"/>
      <c r="AP791" s="57"/>
      <c r="AQ791" s="57"/>
      <c r="AR791" s="57"/>
      <c r="AS791" s="57"/>
      <c r="AT791" s="57"/>
      <c r="AU791" s="58">
        <f t="shared" si="12"/>
        <v>-52.071599999999989</v>
      </c>
      <c r="AV791" s="58"/>
    </row>
    <row r="792" spans="1:48" ht="13.5" customHeight="1">
      <c r="A792" s="84">
        <v>790</v>
      </c>
      <c r="B792" s="85">
        <v>697</v>
      </c>
      <c r="C792" s="85" t="s">
        <v>39</v>
      </c>
      <c r="D792" s="175">
        <v>204.49127499999997</v>
      </c>
      <c r="F792" s="45">
        <v>400</v>
      </c>
      <c r="G792" s="45">
        <v>311.63400000000001</v>
      </c>
      <c r="H792" s="56">
        <v>313.49127499999997</v>
      </c>
      <c r="I792" s="56">
        <v>313.49127499999997</v>
      </c>
      <c r="J792" s="148">
        <v>0</v>
      </c>
      <c r="K792" s="57">
        <v>35</v>
      </c>
      <c r="L792" s="57"/>
      <c r="M792" s="57"/>
      <c r="N792" s="57"/>
      <c r="O792" s="57"/>
      <c r="P792" s="57">
        <v>45</v>
      </c>
      <c r="Q792" s="57"/>
      <c r="R792" s="57"/>
      <c r="S792" s="57"/>
      <c r="T792" s="57"/>
      <c r="U792" s="57"/>
      <c r="V792" s="57"/>
      <c r="W792" s="57"/>
      <c r="X792" s="57"/>
      <c r="Y792" s="57"/>
      <c r="Z792" s="57"/>
      <c r="AA792" s="57"/>
      <c r="AB792" s="57"/>
      <c r="AC792" s="57"/>
      <c r="AD792" s="57"/>
      <c r="AE792" s="57"/>
      <c r="AF792" s="57"/>
      <c r="AG792" s="57"/>
      <c r="AH792" s="57"/>
      <c r="AI792" s="57"/>
      <c r="AJ792" s="57"/>
      <c r="AK792" s="57"/>
      <c r="AL792" s="57"/>
      <c r="AM792" s="57">
        <v>29</v>
      </c>
      <c r="AN792" s="57"/>
      <c r="AO792" s="57"/>
      <c r="AP792" s="57"/>
      <c r="AQ792" s="57"/>
      <c r="AR792" s="57"/>
      <c r="AS792" s="57"/>
      <c r="AT792" s="57"/>
      <c r="AU792" s="58">
        <f t="shared" si="12"/>
        <v>204.49127499999997</v>
      </c>
      <c r="AV792" s="58"/>
    </row>
    <row r="793" spans="1:48" ht="13.5" customHeight="1">
      <c r="A793" s="82">
        <v>791</v>
      </c>
      <c r="B793" s="85">
        <v>698</v>
      </c>
      <c r="C793" s="85" t="s">
        <v>39</v>
      </c>
      <c r="D793" s="175">
        <v>-23.064000000000192</v>
      </c>
      <c r="F793" s="45">
        <v>882</v>
      </c>
      <c r="G793" s="45">
        <v>900.96</v>
      </c>
      <c r="H793" s="56">
        <v>-23.064000000000192</v>
      </c>
      <c r="I793" s="56">
        <v>-23.064000000000192</v>
      </c>
      <c r="J793" s="148">
        <v>0</v>
      </c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  <c r="AA793" s="57"/>
      <c r="AB793" s="57"/>
      <c r="AC793" s="57"/>
      <c r="AD793" s="57"/>
      <c r="AE793" s="57"/>
      <c r="AF793" s="57"/>
      <c r="AG793" s="57"/>
      <c r="AH793" s="57"/>
      <c r="AI793" s="57"/>
      <c r="AJ793" s="57"/>
      <c r="AK793" s="57"/>
      <c r="AL793" s="57"/>
      <c r="AM793" s="57"/>
      <c r="AN793" s="57"/>
      <c r="AO793" s="57"/>
      <c r="AP793" s="57"/>
      <c r="AQ793" s="57"/>
      <c r="AR793" s="57"/>
      <c r="AS793" s="57"/>
      <c r="AT793" s="57"/>
      <c r="AU793" s="58">
        <f t="shared" si="12"/>
        <v>-23.064000000000192</v>
      </c>
      <c r="AV793" s="58"/>
    </row>
    <row r="794" spans="1:48" ht="13.5" customHeight="1">
      <c r="A794" s="84">
        <v>792</v>
      </c>
      <c r="B794" s="85">
        <v>700</v>
      </c>
      <c r="C794" s="85" t="s">
        <v>39</v>
      </c>
      <c r="D794" s="175">
        <v>219.79950500000001</v>
      </c>
      <c r="F794" s="45">
        <v>882</v>
      </c>
      <c r="G794" s="45">
        <v>524.43599999999992</v>
      </c>
      <c r="H794" s="56">
        <v>219.79950500000001</v>
      </c>
      <c r="I794" s="56">
        <v>219.79950500000001</v>
      </c>
      <c r="J794" s="148">
        <v>0</v>
      </c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  <c r="AA794" s="57"/>
      <c r="AB794" s="57"/>
      <c r="AC794" s="57"/>
      <c r="AD794" s="57"/>
      <c r="AE794" s="57"/>
      <c r="AF794" s="57"/>
      <c r="AG794" s="57"/>
      <c r="AH794" s="57"/>
      <c r="AI794" s="57"/>
      <c r="AJ794" s="57"/>
      <c r="AK794" s="57"/>
      <c r="AL794" s="57"/>
      <c r="AM794" s="57"/>
      <c r="AN794" s="57"/>
      <c r="AO794" s="57"/>
      <c r="AP794" s="57"/>
      <c r="AQ794" s="57"/>
      <c r="AR794" s="57"/>
      <c r="AS794" s="57"/>
      <c r="AT794" s="57"/>
      <c r="AU794" s="58">
        <f t="shared" si="12"/>
        <v>219.79950500000001</v>
      </c>
      <c r="AV794" s="58"/>
    </row>
    <row r="795" spans="1:48" ht="13.5" customHeight="1">
      <c r="A795" s="84">
        <v>793</v>
      </c>
      <c r="B795" s="85">
        <v>703</v>
      </c>
      <c r="C795" s="85" t="s">
        <v>39</v>
      </c>
      <c r="D795" s="175">
        <v>320.83671749999996</v>
      </c>
      <c r="F795" s="45">
        <v>400</v>
      </c>
      <c r="G795" s="45">
        <v>249.86399999999998</v>
      </c>
      <c r="H795" s="56">
        <v>380.83671749999996</v>
      </c>
      <c r="I795" s="56">
        <v>380.83671749999996</v>
      </c>
      <c r="J795" s="148">
        <v>0</v>
      </c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  <c r="AA795" s="57"/>
      <c r="AB795" s="57"/>
      <c r="AC795" s="57">
        <v>60</v>
      </c>
      <c r="AD795" s="57"/>
      <c r="AE795" s="57"/>
      <c r="AF795" s="57"/>
      <c r="AG795" s="57"/>
      <c r="AH795" s="57"/>
      <c r="AI795" s="57"/>
      <c r="AJ795" s="57"/>
      <c r="AK795" s="57"/>
      <c r="AL795" s="57"/>
      <c r="AM795" s="57"/>
      <c r="AN795" s="57"/>
      <c r="AO795" s="57"/>
      <c r="AP795" s="57"/>
      <c r="AQ795" s="57"/>
      <c r="AR795" s="57"/>
      <c r="AS795" s="57"/>
      <c r="AT795" s="57"/>
      <c r="AU795" s="58">
        <f t="shared" si="12"/>
        <v>320.83671749999996</v>
      </c>
      <c r="AV795" s="58"/>
    </row>
    <row r="796" spans="1:48" ht="13.5" customHeight="1">
      <c r="A796" s="82">
        <v>794</v>
      </c>
      <c r="B796" s="85">
        <v>704</v>
      </c>
      <c r="C796" s="85" t="s">
        <v>39</v>
      </c>
      <c r="D796" s="175">
        <v>195.72790000000009</v>
      </c>
      <c r="F796" s="45">
        <v>560</v>
      </c>
      <c r="G796" s="45">
        <v>490.15799999999996</v>
      </c>
      <c r="H796" s="56">
        <v>385.72790000000009</v>
      </c>
      <c r="I796" s="56">
        <v>385.72790000000009</v>
      </c>
      <c r="J796" s="148">
        <v>0</v>
      </c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>
        <v>30</v>
      </c>
      <c r="W796" s="57"/>
      <c r="X796" s="57"/>
      <c r="Y796" s="57"/>
      <c r="Z796" s="57"/>
      <c r="AA796" s="57"/>
      <c r="AB796" s="57"/>
      <c r="AC796" s="57"/>
      <c r="AD796" s="57">
        <v>25</v>
      </c>
      <c r="AE796" s="57"/>
      <c r="AF796" s="57"/>
      <c r="AG796" s="57"/>
      <c r="AH796" s="57"/>
      <c r="AI796" s="57"/>
      <c r="AJ796" s="57">
        <v>25</v>
      </c>
      <c r="AK796" s="57">
        <v>40</v>
      </c>
      <c r="AL796" s="57"/>
      <c r="AM796" s="57"/>
      <c r="AN796" s="57"/>
      <c r="AO796" s="57"/>
      <c r="AP796" s="57"/>
      <c r="AQ796" s="57"/>
      <c r="AR796" s="57"/>
      <c r="AS796" s="57">
        <v>70</v>
      </c>
      <c r="AT796" s="57"/>
      <c r="AU796" s="58">
        <f t="shared" si="12"/>
        <v>195.72790000000009</v>
      </c>
      <c r="AV796" s="58"/>
    </row>
    <row r="797" spans="1:48" ht="13.5" customHeight="1">
      <c r="A797" s="84">
        <v>795</v>
      </c>
      <c r="B797" s="85">
        <v>705</v>
      </c>
      <c r="C797" s="85" t="s">
        <v>39</v>
      </c>
      <c r="D797" s="175">
        <v>54.766857500000015</v>
      </c>
      <c r="F797" s="45">
        <v>400</v>
      </c>
      <c r="G797" s="45">
        <v>210.85320000000002</v>
      </c>
      <c r="H797" s="56">
        <v>54.766857500000015</v>
      </c>
      <c r="I797" s="56">
        <v>54.766857500000015</v>
      </c>
      <c r="J797" s="148">
        <v>0</v>
      </c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  <c r="AA797" s="57"/>
      <c r="AB797" s="57"/>
      <c r="AC797" s="57"/>
      <c r="AD797" s="57"/>
      <c r="AE797" s="57"/>
      <c r="AF797" s="57"/>
      <c r="AG797" s="57"/>
      <c r="AH797" s="57"/>
      <c r="AI797" s="57"/>
      <c r="AJ797" s="57"/>
      <c r="AK797" s="57"/>
      <c r="AL797" s="57"/>
      <c r="AM797" s="57"/>
      <c r="AN797" s="57"/>
      <c r="AO797" s="57"/>
      <c r="AP797" s="57"/>
      <c r="AQ797" s="57"/>
      <c r="AR797" s="57"/>
      <c r="AS797" s="57"/>
      <c r="AT797" s="57"/>
      <c r="AU797" s="58">
        <f t="shared" si="12"/>
        <v>54.766857500000015</v>
      </c>
      <c r="AV797" s="58"/>
    </row>
    <row r="798" spans="1:48" ht="13.5" customHeight="1">
      <c r="A798" s="82">
        <v>796</v>
      </c>
      <c r="B798" s="85">
        <v>706</v>
      </c>
      <c r="C798" s="85" t="s">
        <v>39</v>
      </c>
      <c r="D798" s="175">
        <v>-219.77719124999999</v>
      </c>
      <c r="F798" s="45">
        <v>630</v>
      </c>
      <c r="G798" s="45">
        <v>594.25524000000007</v>
      </c>
      <c r="H798" s="56">
        <v>-149.77719124999999</v>
      </c>
      <c r="I798" s="56">
        <v>-149.77719124999999</v>
      </c>
      <c r="J798" s="148">
        <v>0</v>
      </c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  <c r="AA798" s="57"/>
      <c r="AB798" s="57"/>
      <c r="AC798" s="57"/>
      <c r="AD798" s="57"/>
      <c r="AE798" s="57"/>
      <c r="AF798" s="57"/>
      <c r="AG798" s="57"/>
      <c r="AH798" s="57"/>
      <c r="AI798" s="57"/>
      <c r="AJ798" s="57"/>
      <c r="AK798" s="57"/>
      <c r="AL798" s="57">
        <v>70</v>
      </c>
      <c r="AM798" s="57"/>
      <c r="AN798" s="57"/>
      <c r="AO798" s="57"/>
      <c r="AP798" s="57"/>
      <c r="AQ798" s="57"/>
      <c r="AR798" s="57"/>
      <c r="AS798" s="57"/>
      <c r="AT798" s="57"/>
      <c r="AU798" s="58">
        <f t="shared" si="12"/>
        <v>-219.77719124999999</v>
      </c>
      <c r="AV798" s="58"/>
    </row>
    <row r="799" spans="1:48" ht="13.5" customHeight="1">
      <c r="A799" s="84">
        <v>797</v>
      </c>
      <c r="B799" s="85">
        <v>714</v>
      </c>
      <c r="C799" s="85" t="s">
        <v>39</v>
      </c>
      <c r="D799" s="175">
        <v>-0.67092000000002372</v>
      </c>
      <c r="F799" s="45">
        <v>560</v>
      </c>
      <c r="G799" s="45">
        <v>612.11764499999981</v>
      </c>
      <c r="H799" s="56">
        <v>-0.67092000000002372</v>
      </c>
      <c r="I799" s="56">
        <v>-0.67092000000002372</v>
      </c>
      <c r="J799" s="148">
        <v>0</v>
      </c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  <c r="AA799" s="57"/>
      <c r="AB799" s="57"/>
      <c r="AC799" s="57"/>
      <c r="AD799" s="57"/>
      <c r="AE799" s="57"/>
      <c r="AF799" s="57"/>
      <c r="AG799" s="57"/>
      <c r="AH799" s="57"/>
      <c r="AI799" s="57"/>
      <c r="AJ799" s="57"/>
      <c r="AK799" s="57"/>
      <c r="AL799" s="57"/>
      <c r="AM799" s="57"/>
      <c r="AN799" s="57"/>
      <c r="AO799" s="57"/>
      <c r="AP799" s="57"/>
      <c r="AQ799" s="57"/>
      <c r="AR799" s="57"/>
      <c r="AS799" s="57"/>
      <c r="AT799" s="57"/>
      <c r="AU799" s="58">
        <f t="shared" si="12"/>
        <v>-0.67092000000002372</v>
      </c>
      <c r="AV799" s="58"/>
    </row>
    <row r="800" spans="1:48" ht="13.5" customHeight="1">
      <c r="A800" s="84">
        <v>798</v>
      </c>
      <c r="B800" s="85">
        <v>715</v>
      </c>
      <c r="C800" s="85" t="s">
        <v>39</v>
      </c>
      <c r="D800" s="175">
        <v>-19.161024999999995</v>
      </c>
      <c r="F800" s="45">
        <v>882</v>
      </c>
      <c r="G800" s="45">
        <v>924</v>
      </c>
      <c r="H800" s="56">
        <v>50.838975000000005</v>
      </c>
      <c r="I800" s="56">
        <v>50.838975000000005</v>
      </c>
      <c r="J800" s="148">
        <v>0</v>
      </c>
      <c r="K800" s="57"/>
      <c r="L800" s="57"/>
      <c r="M800" s="57"/>
      <c r="N800" s="57"/>
      <c r="O800" s="57"/>
      <c r="P800" s="57"/>
      <c r="Q800" s="57">
        <v>70</v>
      </c>
      <c r="R800" s="57"/>
      <c r="S800" s="57"/>
      <c r="T800" s="57"/>
      <c r="U800" s="57"/>
      <c r="V800" s="57"/>
      <c r="W800" s="57"/>
      <c r="X800" s="57"/>
      <c r="Y800" s="57"/>
      <c r="Z800" s="57"/>
      <c r="AA800" s="57"/>
      <c r="AB800" s="57"/>
      <c r="AC800" s="57"/>
      <c r="AD800" s="57"/>
      <c r="AE800" s="57"/>
      <c r="AF800" s="57"/>
      <c r="AG800" s="57"/>
      <c r="AH800" s="57"/>
      <c r="AI800" s="57"/>
      <c r="AJ800" s="57"/>
      <c r="AK800" s="57"/>
      <c r="AL800" s="57"/>
      <c r="AM800" s="57"/>
      <c r="AN800" s="57"/>
      <c r="AO800" s="57"/>
      <c r="AP800" s="57"/>
      <c r="AQ800" s="57"/>
      <c r="AR800" s="57"/>
      <c r="AS800" s="57"/>
      <c r="AT800" s="57"/>
      <c r="AU800" s="58">
        <f t="shared" si="12"/>
        <v>-19.161024999999995</v>
      </c>
      <c r="AV800" s="58"/>
    </row>
    <row r="801" spans="1:48" ht="13.5" customHeight="1">
      <c r="A801" s="82">
        <v>799</v>
      </c>
      <c r="B801" s="85">
        <v>716</v>
      </c>
      <c r="C801" s="85" t="s">
        <v>39</v>
      </c>
      <c r="D801" s="175">
        <v>-34.892400000000066</v>
      </c>
      <c r="F801" s="45">
        <v>250</v>
      </c>
      <c r="G801" s="45">
        <v>198.9777</v>
      </c>
      <c r="H801" s="56">
        <v>-34.892400000000066</v>
      </c>
      <c r="I801" s="56">
        <v>-34.892400000000066</v>
      </c>
      <c r="J801" s="148">
        <v>0</v>
      </c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  <c r="AA801" s="57"/>
      <c r="AB801" s="57"/>
      <c r="AC801" s="57"/>
      <c r="AD801" s="57"/>
      <c r="AE801" s="57"/>
      <c r="AF801" s="57"/>
      <c r="AG801" s="57"/>
      <c r="AH801" s="57"/>
      <c r="AI801" s="57"/>
      <c r="AJ801" s="57"/>
      <c r="AK801" s="57"/>
      <c r="AL801" s="57"/>
      <c r="AM801" s="57"/>
      <c r="AN801" s="57"/>
      <c r="AO801" s="57"/>
      <c r="AP801" s="57"/>
      <c r="AQ801" s="57"/>
      <c r="AR801" s="57"/>
      <c r="AS801" s="57"/>
      <c r="AT801" s="57"/>
      <c r="AU801" s="58">
        <f t="shared" si="12"/>
        <v>-34.892400000000066</v>
      </c>
      <c r="AV801" s="58"/>
    </row>
    <row r="802" spans="1:48" ht="13.5" customHeight="1">
      <c r="A802" s="84">
        <v>800</v>
      </c>
      <c r="B802" s="85">
        <v>717</v>
      </c>
      <c r="C802" s="85" t="s">
        <v>39</v>
      </c>
      <c r="D802" s="175">
        <v>-9.6083699999999226</v>
      </c>
      <c r="F802" s="45">
        <v>560</v>
      </c>
      <c r="G802" s="45">
        <v>564.59519999999998</v>
      </c>
      <c r="H802" s="56">
        <v>40.391630000000077</v>
      </c>
      <c r="I802" s="56">
        <v>40.391630000000077</v>
      </c>
      <c r="J802" s="148">
        <v>0</v>
      </c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  <c r="AA802" s="57"/>
      <c r="AB802" s="57"/>
      <c r="AC802" s="57"/>
      <c r="AD802" s="57"/>
      <c r="AE802" s="57"/>
      <c r="AF802" s="57"/>
      <c r="AG802" s="57"/>
      <c r="AH802" s="57"/>
      <c r="AI802" s="57"/>
      <c r="AJ802" s="57"/>
      <c r="AK802" s="57">
        <v>50</v>
      </c>
      <c r="AL802" s="57"/>
      <c r="AM802" s="57"/>
      <c r="AN802" s="57"/>
      <c r="AO802" s="57"/>
      <c r="AP802" s="57"/>
      <c r="AQ802" s="57"/>
      <c r="AR802" s="57"/>
      <c r="AS802" s="57"/>
      <c r="AT802" s="57"/>
      <c r="AU802" s="58">
        <f t="shared" si="12"/>
        <v>-9.6083699999999226</v>
      </c>
      <c r="AV802" s="58"/>
    </row>
    <row r="803" spans="1:48" ht="13.5" customHeight="1">
      <c r="A803" s="82">
        <v>801</v>
      </c>
      <c r="B803" s="85">
        <v>718</v>
      </c>
      <c r="C803" s="85" t="s">
        <v>39</v>
      </c>
      <c r="D803" s="175">
        <v>46.096437500000093</v>
      </c>
      <c r="F803" s="45">
        <v>320</v>
      </c>
      <c r="G803" s="45">
        <v>249.35048249999997</v>
      </c>
      <c r="H803" s="56">
        <v>46.096437500000093</v>
      </c>
      <c r="I803" s="56">
        <v>46.096437500000093</v>
      </c>
      <c r="J803" s="148">
        <v>0</v>
      </c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  <c r="AA803" s="57"/>
      <c r="AB803" s="57"/>
      <c r="AC803" s="57"/>
      <c r="AD803" s="57"/>
      <c r="AE803" s="57"/>
      <c r="AF803" s="57"/>
      <c r="AG803" s="57"/>
      <c r="AH803" s="57"/>
      <c r="AI803" s="57"/>
      <c r="AJ803" s="57"/>
      <c r="AK803" s="57"/>
      <c r="AL803" s="57"/>
      <c r="AM803" s="57"/>
      <c r="AN803" s="57"/>
      <c r="AO803" s="57"/>
      <c r="AP803" s="57"/>
      <c r="AQ803" s="57"/>
      <c r="AR803" s="57"/>
      <c r="AS803" s="57"/>
      <c r="AT803" s="57"/>
      <c r="AU803" s="58">
        <f t="shared" si="12"/>
        <v>46.096437500000093</v>
      </c>
      <c r="AV803" s="58"/>
    </row>
    <row r="804" spans="1:48" ht="13.5" customHeight="1">
      <c r="A804" s="84">
        <v>802</v>
      </c>
      <c r="B804" s="85">
        <v>719</v>
      </c>
      <c r="C804" s="85" t="s">
        <v>39</v>
      </c>
      <c r="D804" s="175">
        <v>67.624299999999948</v>
      </c>
      <c r="F804" s="45">
        <v>560</v>
      </c>
      <c r="G804" s="45">
        <v>602.17420000000004</v>
      </c>
      <c r="H804" s="56">
        <v>113.62429999999995</v>
      </c>
      <c r="I804" s="56">
        <v>113.62429999999995</v>
      </c>
      <c r="J804" s="148">
        <v>0</v>
      </c>
      <c r="K804" s="57"/>
      <c r="L804" s="57"/>
      <c r="M804" s="57"/>
      <c r="N804" s="57"/>
      <c r="O804" s="57"/>
      <c r="P804" s="57"/>
      <c r="Q804" s="57"/>
      <c r="R804" s="57"/>
      <c r="S804" s="57">
        <v>46</v>
      </c>
      <c r="T804" s="57"/>
      <c r="U804" s="57"/>
      <c r="V804" s="57"/>
      <c r="W804" s="57"/>
      <c r="X804" s="57"/>
      <c r="Y804" s="57"/>
      <c r="Z804" s="57"/>
      <c r="AA804" s="57"/>
      <c r="AB804" s="57"/>
      <c r="AC804" s="57"/>
      <c r="AD804" s="57"/>
      <c r="AE804" s="57"/>
      <c r="AF804" s="57"/>
      <c r="AG804" s="57"/>
      <c r="AH804" s="57"/>
      <c r="AI804" s="57"/>
      <c r="AJ804" s="57"/>
      <c r="AK804" s="57"/>
      <c r="AL804" s="57"/>
      <c r="AM804" s="57"/>
      <c r="AN804" s="57"/>
      <c r="AO804" s="57"/>
      <c r="AP804" s="57"/>
      <c r="AQ804" s="57"/>
      <c r="AR804" s="57"/>
      <c r="AS804" s="57"/>
      <c r="AT804" s="57"/>
      <c r="AU804" s="58">
        <f t="shared" si="12"/>
        <v>67.624299999999948</v>
      </c>
      <c r="AV804" s="58"/>
    </row>
    <row r="805" spans="1:48" ht="13.5" customHeight="1">
      <c r="A805" s="84">
        <v>803</v>
      </c>
      <c r="B805" s="85">
        <v>722</v>
      </c>
      <c r="C805" s="85" t="s">
        <v>39</v>
      </c>
      <c r="D805" s="175">
        <v>64.173439999999999</v>
      </c>
      <c r="F805" s="45">
        <v>400</v>
      </c>
      <c r="G805" s="45">
        <v>301.57506000000001</v>
      </c>
      <c r="H805" s="56">
        <v>154.17344</v>
      </c>
      <c r="I805" s="56">
        <v>154.17344</v>
      </c>
      <c r="J805" s="148">
        <v>0</v>
      </c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>
        <v>90</v>
      </c>
      <c r="Y805" s="57"/>
      <c r="Z805" s="57"/>
      <c r="AA805" s="57"/>
      <c r="AB805" s="57">
        <v>0</v>
      </c>
      <c r="AC805" s="57"/>
      <c r="AD805" s="57"/>
      <c r="AE805" s="57"/>
      <c r="AF805" s="57"/>
      <c r="AG805" s="57"/>
      <c r="AH805" s="57"/>
      <c r="AI805" s="57"/>
      <c r="AJ805" s="57"/>
      <c r="AK805" s="57"/>
      <c r="AL805" s="57"/>
      <c r="AM805" s="57"/>
      <c r="AN805" s="57"/>
      <c r="AO805" s="57"/>
      <c r="AP805" s="57"/>
      <c r="AQ805" s="57"/>
      <c r="AR805" s="57"/>
      <c r="AS805" s="57"/>
      <c r="AT805" s="57"/>
      <c r="AU805" s="58">
        <f t="shared" si="12"/>
        <v>64.173439999999999</v>
      </c>
      <c r="AV805" s="58"/>
    </row>
    <row r="806" spans="1:48" ht="13.5" customHeight="1">
      <c r="A806" s="82">
        <v>804</v>
      </c>
      <c r="B806" s="85">
        <v>725</v>
      </c>
      <c r="C806" s="85" t="s">
        <v>39</v>
      </c>
      <c r="D806" s="175">
        <v>7.0448000000000093</v>
      </c>
      <c r="F806" s="45">
        <v>560</v>
      </c>
      <c r="G806" s="45">
        <v>346.26</v>
      </c>
      <c r="H806" s="56">
        <v>32.044800000000009</v>
      </c>
      <c r="I806" s="56">
        <v>32.044800000000009</v>
      </c>
      <c r="J806" s="148">
        <v>0</v>
      </c>
      <c r="K806" s="57"/>
      <c r="L806" s="57"/>
      <c r="M806" s="57"/>
      <c r="N806" s="57"/>
      <c r="O806" s="57"/>
      <c r="P806" s="57"/>
      <c r="Q806" s="57"/>
      <c r="R806" s="57">
        <v>25</v>
      </c>
      <c r="S806" s="57"/>
      <c r="T806" s="57"/>
      <c r="U806" s="57"/>
      <c r="V806" s="57"/>
      <c r="W806" s="57"/>
      <c r="X806" s="57"/>
      <c r="Y806" s="57"/>
      <c r="Z806" s="57"/>
      <c r="AA806" s="57"/>
      <c r="AB806" s="57"/>
      <c r="AC806" s="57"/>
      <c r="AD806" s="57"/>
      <c r="AE806" s="57"/>
      <c r="AF806" s="57"/>
      <c r="AG806" s="57"/>
      <c r="AH806" s="57"/>
      <c r="AI806" s="57"/>
      <c r="AJ806" s="57"/>
      <c r="AK806" s="57"/>
      <c r="AL806" s="57"/>
      <c r="AM806" s="57"/>
      <c r="AN806" s="57"/>
      <c r="AO806" s="57"/>
      <c r="AP806" s="57"/>
      <c r="AQ806" s="57"/>
      <c r="AR806" s="57"/>
      <c r="AS806" s="57"/>
      <c r="AT806" s="57"/>
      <c r="AU806" s="58">
        <f t="shared" si="12"/>
        <v>7.0448000000000093</v>
      </c>
      <c r="AV806" s="58"/>
    </row>
    <row r="807" spans="1:48" ht="13.5" customHeight="1">
      <c r="A807" s="84">
        <v>805</v>
      </c>
      <c r="B807" s="85">
        <v>726</v>
      </c>
      <c r="C807" s="85" t="s">
        <v>39</v>
      </c>
      <c r="D807" s="175">
        <v>295.75093500000003</v>
      </c>
      <c r="F807" s="45">
        <v>882</v>
      </c>
      <c r="G807" s="45">
        <v>621.61978499999998</v>
      </c>
      <c r="H807" s="56">
        <v>295.75093500000003</v>
      </c>
      <c r="I807" s="56">
        <v>295.75093500000003</v>
      </c>
      <c r="J807" s="148">
        <v>0</v>
      </c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  <c r="AA807" s="57"/>
      <c r="AB807" s="57"/>
      <c r="AC807" s="57"/>
      <c r="AD807" s="57"/>
      <c r="AE807" s="57"/>
      <c r="AF807" s="57"/>
      <c r="AG807" s="57"/>
      <c r="AH807" s="57"/>
      <c r="AI807" s="57"/>
      <c r="AJ807" s="57"/>
      <c r="AK807" s="57"/>
      <c r="AL807" s="57"/>
      <c r="AM807" s="57"/>
      <c r="AN807" s="57"/>
      <c r="AO807" s="57"/>
      <c r="AP807" s="57"/>
      <c r="AQ807" s="57"/>
      <c r="AR807" s="57"/>
      <c r="AS807" s="57"/>
      <c r="AT807" s="57"/>
      <c r="AU807" s="58">
        <f t="shared" si="12"/>
        <v>295.75093500000003</v>
      </c>
      <c r="AV807" s="58"/>
    </row>
    <row r="808" spans="1:48" ht="13.5" customHeight="1">
      <c r="A808" s="82">
        <v>806</v>
      </c>
      <c r="B808" s="85">
        <v>730</v>
      </c>
      <c r="C808" s="85" t="s">
        <v>39</v>
      </c>
      <c r="D808" s="175">
        <v>-11.005799999999908</v>
      </c>
      <c r="F808" s="45">
        <v>630</v>
      </c>
      <c r="G808" s="45">
        <v>494.24656500000003</v>
      </c>
      <c r="H808" s="56">
        <v>8.9942000000000917</v>
      </c>
      <c r="I808" s="56">
        <v>8.9942000000000917</v>
      </c>
      <c r="J808" s="148">
        <v>0</v>
      </c>
      <c r="K808" s="57"/>
      <c r="L808" s="57"/>
      <c r="M808" s="57">
        <v>20</v>
      </c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  <c r="AA808" s="57"/>
      <c r="AB808" s="57"/>
      <c r="AC808" s="57"/>
      <c r="AD808" s="57"/>
      <c r="AE808" s="57"/>
      <c r="AF808" s="57"/>
      <c r="AG808" s="57"/>
      <c r="AH808" s="57"/>
      <c r="AI808" s="57"/>
      <c r="AJ808" s="57"/>
      <c r="AK808" s="57"/>
      <c r="AL808" s="57"/>
      <c r="AM808" s="57"/>
      <c r="AN808" s="57"/>
      <c r="AO808" s="57"/>
      <c r="AP808" s="57"/>
      <c r="AQ808" s="57"/>
      <c r="AR808" s="57"/>
      <c r="AS808" s="57"/>
      <c r="AT808" s="57"/>
      <c r="AU808" s="58">
        <f t="shared" si="12"/>
        <v>-11.005799999999908</v>
      </c>
      <c r="AV808" s="58"/>
    </row>
    <row r="809" spans="1:48" ht="13.5" customHeight="1">
      <c r="A809" s="84">
        <v>807</v>
      </c>
      <c r="B809" s="85">
        <v>731</v>
      </c>
      <c r="C809" s="85" t="s">
        <v>39</v>
      </c>
      <c r="D809" s="175">
        <v>-39.388239999999996</v>
      </c>
      <c r="F809" s="45">
        <v>630</v>
      </c>
      <c r="G809" s="45">
        <v>436.93618500000002</v>
      </c>
      <c r="H809" s="56">
        <v>-39.388239999999996</v>
      </c>
      <c r="I809" s="56">
        <v>-39.388239999999996</v>
      </c>
      <c r="J809" s="148">
        <v>0</v>
      </c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  <c r="AA809" s="57"/>
      <c r="AB809" s="57"/>
      <c r="AC809" s="57"/>
      <c r="AD809" s="57"/>
      <c r="AE809" s="57"/>
      <c r="AF809" s="57"/>
      <c r="AG809" s="57"/>
      <c r="AH809" s="57"/>
      <c r="AI809" s="57"/>
      <c r="AJ809" s="57"/>
      <c r="AK809" s="57"/>
      <c r="AL809" s="57"/>
      <c r="AM809" s="57"/>
      <c r="AN809" s="57"/>
      <c r="AO809" s="57"/>
      <c r="AP809" s="57"/>
      <c r="AQ809" s="57"/>
      <c r="AR809" s="57"/>
      <c r="AS809" s="57"/>
      <c r="AT809" s="57"/>
      <c r="AU809" s="58">
        <f t="shared" si="12"/>
        <v>-39.388239999999996</v>
      </c>
      <c r="AV809" s="58"/>
    </row>
    <row r="810" spans="1:48" ht="13.5" customHeight="1">
      <c r="A810" s="84">
        <v>808</v>
      </c>
      <c r="B810" s="85">
        <v>732</v>
      </c>
      <c r="C810" s="85" t="s">
        <v>39</v>
      </c>
      <c r="D810" s="175">
        <v>-285.74824999999987</v>
      </c>
      <c r="F810" s="45">
        <v>882</v>
      </c>
      <c r="G810" s="45">
        <v>942</v>
      </c>
      <c r="H810" s="56">
        <v>-285.74824999999987</v>
      </c>
      <c r="I810" s="56">
        <v>-285.74824999999987</v>
      </c>
      <c r="J810" s="148">
        <v>0</v>
      </c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57"/>
      <c r="AC810" s="57"/>
      <c r="AD810" s="57"/>
      <c r="AE810" s="57"/>
      <c r="AF810" s="57"/>
      <c r="AG810" s="57"/>
      <c r="AH810" s="57"/>
      <c r="AI810" s="57"/>
      <c r="AJ810" s="57"/>
      <c r="AK810" s="57"/>
      <c r="AL810" s="57"/>
      <c r="AM810" s="57"/>
      <c r="AN810" s="57"/>
      <c r="AO810" s="57"/>
      <c r="AP810" s="57"/>
      <c r="AQ810" s="57"/>
      <c r="AR810" s="57"/>
      <c r="AS810" s="57"/>
      <c r="AT810" s="57"/>
      <c r="AU810" s="58">
        <f t="shared" si="12"/>
        <v>-285.74824999999987</v>
      </c>
      <c r="AV810" s="58"/>
    </row>
    <row r="811" spans="1:48" ht="13.5" customHeight="1">
      <c r="A811" s="82">
        <v>809</v>
      </c>
      <c r="B811" s="85">
        <v>733</v>
      </c>
      <c r="C811" s="85" t="s">
        <v>39</v>
      </c>
      <c r="D811" s="175">
        <v>166.1085374999999</v>
      </c>
      <c r="F811" s="45">
        <v>250</v>
      </c>
      <c r="G811" s="45">
        <v>68.144925000000001</v>
      </c>
      <c r="H811" s="56">
        <v>166.1085374999999</v>
      </c>
      <c r="I811" s="56">
        <v>166.1085374999999</v>
      </c>
      <c r="J811" s="148">
        <v>0</v>
      </c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  <c r="AA811" s="57"/>
      <c r="AB811" s="57"/>
      <c r="AC811" s="57"/>
      <c r="AD811" s="57"/>
      <c r="AE811" s="57"/>
      <c r="AF811" s="57"/>
      <c r="AG811" s="57"/>
      <c r="AH811" s="57"/>
      <c r="AI811" s="57"/>
      <c r="AJ811" s="57"/>
      <c r="AK811" s="57"/>
      <c r="AL811" s="57"/>
      <c r="AM811" s="57"/>
      <c r="AN811" s="57"/>
      <c r="AO811" s="57"/>
      <c r="AP811" s="57"/>
      <c r="AQ811" s="57"/>
      <c r="AR811" s="57"/>
      <c r="AS811" s="57"/>
      <c r="AT811" s="57"/>
      <c r="AU811" s="58">
        <f t="shared" si="12"/>
        <v>166.1085374999999</v>
      </c>
      <c r="AV811" s="58"/>
    </row>
    <row r="812" spans="1:48" ht="13.5" customHeight="1">
      <c r="A812" s="84">
        <v>810</v>
      </c>
      <c r="B812" s="85">
        <v>734</v>
      </c>
      <c r="C812" s="85" t="s">
        <v>39</v>
      </c>
      <c r="D812" s="175">
        <v>164.25</v>
      </c>
      <c r="F812" s="45">
        <v>560</v>
      </c>
      <c r="G812" s="45">
        <v>280.47059999999999</v>
      </c>
      <c r="H812" s="56">
        <v>164.25</v>
      </c>
      <c r="I812" s="56">
        <v>164.25</v>
      </c>
      <c r="J812" s="148">
        <v>0</v>
      </c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  <c r="AA812" s="57"/>
      <c r="AB812" s="57"/>
      <c r="AC812" s="57"/>
      <c r="AD812" s="57"/>
      <c r="AE812" s="57"/>
      <c r="AF812" s="57"/>
      <c r="AG812" s="57"/>
      <c r="AH812" s="57"/>
      <c r="AI812" s="57"/>
      <c r="AJ812" s="57"/>
      <c r="AK812" s="57"/>
      <c r="AL812" s="57"/>
      <c r="AM812" s="57"/>
      <c r="AN812" s="57"/>
      <c r="AO812" s="57"/>
      <c r="AP812" s="57"/>
      <c r="AQ812" s="57"/>
      <c r="AR812" s="57"/>
      <c r="AS812" s="57"/>
      <c r="AT812" s="57"/>
      <c r="AU812" s="58">
        <f t="shared" si="12"/>
        <v>164.25</v>
      </c>
      <c r="AV812" s="58"/>
    </row>
    <row r="813" spans="1:48" ht="13.5" customHeight="1">
      <c r="A813" s="82">
        <v>811</v>
      </c>
      <c r="B813" s="85">
        <v>735</v>
      </c>
      <c r="C813" s="85" t="s">
        <v>39</v>
      </c>
      <c r="D813" s="175">
        <v>-113.33999999999995</v>
      </c>
      <c r="F813" s="45">
        <v>630</v>
      </c>
      <c r="G813" s="45">
        <v>545.37205999999992</v>
      </c>
      <c r="H813" s="56">
        <v>100.20000000000005</v>
      </c>
      <c r="I813" s="56">
        <v>100.20000000000005</v>
      </c>
      <c r="J813" s="148">
        <v>0</v>
      </c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>
        <v>213.54</v>
      </c>
      <c r="W813" s="57"/>
      <c r="X813" s="57"/>
      <c r="Y813" s="57"/>
      <c r="Z813" s="57"/>
      <c r="AA813" s="57"/>
      <c r="AB813" s="57"/>
      <c r="AC813" s="57"/>
      <c r="AD813" s="57"/>
      <c r="AE813" s="57"/>
      <c r="AF813" s="57"/>
      <c r="AG813" s="57"/>
      <c r="AH813" s="57"/>
      <c r="AI813" s="57"/>
      <c r="AJ813" s="57"/>
      <c r="AK813" s="57"/>
      <c r="AL813" s="57"/>
      <c r="AM813" s="57"/>
      <c r="AN813" s="57"/>
      <c r="AO813" s="57"/>
      <c r="AP813" s="57"/>
      <c r="AQ813" s="57"/>
      <c r="AR813" s="57"/>
      <c r="AS813" s="57"/>
      <c r="AT813" s="57"/>
      <c r="AU813" s="58">
        <f t="shared" si="12"/>
        <v>-113.33999999999995</v>
      </c>
      <c r="AV813" s="58"/>
    </row>
    <row r="814" spans="1:48" ht="13.5" customHeight="1">
      <c r="A814" s="84">
        <v>812</v>
      </c>
      <c r="B814" s="85">
        <v>737</v>
      </c>
      <c r="C814" s="85" t="s">
        <v>39</v>
      </c>
      <c r="D814" s="175">
        <v>28.058459999999968</v>
      </c>
      <c r="F814" s="45">
        <v>882</v>
      </c>
      <c r="G814" s="45">
        <v>495.92609999999996</v>
      </c>
      <c r="H814" s="56">
        <v>28.058459999999968</v>
      </c>
      <c r="I814" s="56">
        <v>28.058459999999968</v>
      </c>
      <c r="J814" s="148">
        <v>0</v>
      </c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  <c r="AA814" s="57"/>
      <c r="AB814" s="57"/>
      <c r="AC814" s="57"/>
      <c r="AD814" s="57"/>
      <c r="AE814" s="57"/>
      <c r="AF814" s="57"/>
      <c r="AG814" s="57"/>
      <c r="AH814" s="57"/>
      <c r="AI814" s="57"/>
      <c r="AJ814" s="57"/>
      <c r="AK814" s="57"/>
      <c r="AL814" s="57"/>
      <c r="AM814" s="57"/>
      <c r="AN814" s="57"/>
      <c r="AO814" s="57"/>
      <c r="AP814" s="57"/>
      <c r="AQ814" s="57"/>
      <c r="AR814" s="57"/>
      <c r="AS814" s="57"/>
      <c r="AT814" s="57"/>
      <c r="AU814" s="58">
        <f t="shared" si="12"/>
        <v>28.058459999999968</v>
      </c>
      <c r="AV814" s="58"/>
    </row>
    <row r="815" spans="1:48" ht="13.5" customHeight="1">
      <c r="A815" s="84">
        <v>813</v>
      </c>
      <c r="B815" s="85">
        <v>743</v>
      </c>
      <c r="C815" s="85" t="s">
        <v>39</v>
      </c>
      <c r="D815" s="175">
        <v>-54.022337499999935</v>
      </c>
      <c r="F815" s="45">
        <v>882</v>
      </c>
      <c r="G815" s="45">
        <v>924</v>
      </c>
      <c r="H815" s="56">
        <v>-54.022337499999935</v>
      </c>
      <c r="I815" s="56">
        <v>-54.022337499999935</v>
      </c>
      <c r="J815" s="148">
        <v>0</v>
      </c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  <c r="AA815" s="57"/>
      <c r="AB815" s="57"/>
      <c r="AC815" s="57"/>
      <c r="AD815" s="57"/>
      <c r="AE815" s="57"/>
      <c r="AF815" s="57"/>
      <c r="AG815" s="57"/>
      <c r="AH815" s="57"/>
      <c r="AI815" s="57"/>
      <c r="AJ815" s="57"/>
      <c r="AK815" s="57"/>
      <c r="AL815" s="57"/>
      <c r="AM815" s="57"/>
      <c r="AN815" s="57"/>
      <c r="AO815" s="57"/>
      <c r="AP815" s="57"/>
      <c r="AQ815" s="57"/>
      <c r="AR815" s="57"/>
      <c r="AS815" s="57"/>
      <c r="AT815" s="57"/>
      <c r="AU815" s="58">
        <f t="shared" si="12"/>
        <v>-54.022337499999935</v>
      </c>
      <c r="AV815" s="58"/>
    </row>
    <row r="816" spans="1:48" ht="13.5" customHeight="1">
      <c r="A816" s="82">
        <v>814</v>
      </c>
      <c r="B816" s="85">
        <v>745</v>
      </c>
      <c r="C816" s="85" t="s">
        <v>39</v>
      </c>
      <c r="D816" s="175">
        <v>-297.00258500000001</v>
      </c>
      <c r="F816" s="45">
        <v>882</v>
      </c>
      <c r="G816" s="45">
        <v>887.4676424999999</v>
      </c>
      <c r="H816" s="56">
        <v>-76.702584999999999</v>
      </c>
      <c r="I816" s="56">
        <v>-76.702584999999999</v>
      </c>
      <c r="J816" s="148">
        <v>0</v>
      </c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  <c r="AA816" s="57"/>
      <c r="AB816" s="57">
        <v>220.3</v>
      </c>
      <c r="AC816" s="57"/>
      <c r="AD816" s="57"/>
      <c r="AE816" s="57"/>
      <c r="AF816" s="57"/>
      <c r="AG816" s="57"/>
      <c r="AH816" s="57"/>
      <c r="AI816" s="57"/>
      <c r="AJ816" s="57"/>
      <c r="AK816" s="57"/>
      <c r="AL816" s="57"/>
      <c r="AM816" s="57"/>
      <c r="AN816" s="57"/>
      <c r="AO816" s="57"/>
      <c r="AP816" s="57"/>
      <c r="AQ816" s="57"/>
      <c r="AR816" s="57"/>
      <c r="AS816" s="57"/>
      <c r="AT816" s="57"/>
      <c r="AU816" s="58">
        <f t="shared" si="12"/>
        <v>-297.00258500000001</v>
      </c>
      <c r="AV816" s="58"/>
    </row>
    <row r="817" spans="1:48" ht="13.5" customHeight="1">
      <c r="A817" s="84">
        <v>815</v>
      </c>
      <c r="B817" s="85">
        <v>747</v>
      </c>
      <c r="C817" s="85" t="s">
        <v>39</v>
      </c>
      <c r="D817" s="175">
        <v>-73.958899999999971</v>
      </c>
      <c r="F817" s="45">
        <v>882</v>
      </c>
      <c r="G817" s="45">
        <v>870.15499999999997</v>
      </c>
      <c r="H817" s="56">
        <v>-73.958899999999971</v>
      </c>
      <c r="I817" s="56">
        <v>-73.958899999999971</v>
      </c>
      <c r="J817" s="148">
        <v>0</v>
      </c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  <c r="AA817" s="57"/>
      <c r="AB817" s="57"/>
      <c r="AC817" s="57"/>
      <c r="AD817" s="57"/>
      <c r="AE817" s="57"/>
      <c r="AF817" s="57"/>
      <c r="AG817" s="57"/>
      <c r="AH817" s="57"/>
      <c r="AI817" s="57"/>
      <c r="AJ817" s="57"/>
      <c r="AK817" s="57"/>
      <c r="AL817" s="57"/>
      <c r="AM817" s="57"/>
      <c r="AN817" s="57"/>
      <c r="AO817" s="57"/>
      <c r="AP817" s="57"/>
      <c r="AQ817" s="57"/>
      <c r="AR817" s="57"/>
      <c r="AS817" s="57"/>
      <c r="AT817" s="57"/>
      <c r="AU817" s="58">
        <f t="shared" si="12"/>
        <v>-73.958899999999971</v>
      </c>
      <c r="AV817" s="58"/>
    </row>
    <row r="818" spans="1:48" ht="13.5" customHeight="1">
      <c r="A818" s="82">
        <v>816</v>
      </c>
      <c r="B818" s="85">
        <v>749</v>
      </c>
      <c r="C818" s="85" t="s">
        <v>39</v>
      </c>
      <c r="D818" s="175">
        <v>1.4399999999999693</v>
      </c>
      <c r="F818" s="45">
        <v>630</v>
      </c>
      <c r="G818" s="45">
        <v>447.48623999999995</v>
      </c>
      <c r="H818" s="56">
        <v>1.4399999999999693</v>
      </c>
      <c r="I818" s="56">
        <v>1.4399999999999693</v>
      </c>
      <c r="J818" s="148">
        <v>0</v>
      </c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  <c r="AA818" s="57"/>
      <c r="AB818" s="57"/>
      <c r="AC818" s="57"/>
      <c r="AD818" s="57"/>
      <c r="AE818" s="57"/>
      <c r="AF818" s="57"/>
      <c r="AG818" s="57"/>
      <c r="AH818" s="57"/>
      <c r="AI818" s="57"/>
      <c r="AJ818" s="57"/>
      <c r="AK818" s="57"/>
      <c r="AL818" s="57"/>
      <c r="AM818" s="57"/>
      <c r="AN818" s="57"/>
      <c r="AO818" s="57"/>
      <c r="AP818" s="57"/>
      <c r="AQ818" s="57"/>
      <c r="AR818" s="57"/>
      <c r="AS818" s="57"/>
      <c r="AT818" s="57"/>
      <c r="AU818" s="58">
        <f t="shared" si="12"/>
        <v>1.4399999999999693</v>
      </c>
      <c r="AV818" s="58"/>
    </row>
    <row r="819" spans="1:48" ht="13.5" customHeight="1">
      <c r="A819" s="84">
        <v>817</v>
      </c>
      <c r="B819" s="85">
        <v>751</v>
      </c>
      <c r="C819" s="85" t="s">
        <v>39</v>
      </c>
      <c r="D819" s="175">
        <v>13.535300000000007</v>
      </c>
      <c r="F819" s="45">
        <v>882</v>
      </c>
      <c r="G819" s="45">
        <v>865.20893000000001</v>
      </c>
      <c r="H819" s="56">
        <v>143.53530000000001</v>
      </c>
      <c r="I819" s="56">
        <v>143.53530000000001</v>
      </c>
      <c r="J819" s="148">
        <v>0</v>
      </c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>
        <v>130</v>
      </c>
      <c r="V819" s="57"/>
      <c r="W819" s="57"/>
      <c r="X819" s="57"/>
      <c r="Y819" s="57"/>
      <c r="Z819" s="57"/>
      <c r="AA819" s="57"/>
      <c r="AB819" s="57"/>
      <c r="AC819" s="57"/>
      <c r="AD819" s="57"/>
      <c r="AE819" s="57"/>
      <c r="AF819" s="57"/>
      <c r="AG819" s="57"/>
      <c r="AH819" s="57"/>
      <c r="AI819" s="57"/>
      <c r="AJ819" s="57"/>
      <c r="AK819" s="57"/>
      <c r="AL819" s="57"/>
      <c r="AM819" s="57"/>
      <c r="AN819" s="57"/>
      <c r="AO819" s="57"/>
      <c r="AP819" s="57"/>
      <c r="AQ819" s="57"/>
      <c r="AR819" s="57"/>
      <c r="AS819" s="57"/>
      <c r="AT819" s="57"/>
      <c r="AU819" s="58">
        <f t="shared" si="12"/>
        <v>13.535300000000007</v>
      </c>
      <c r="AV819" s="58"/>
    </row>
    <row r="820" spans="1:48" ht="13.5" customHeight="1">
      <c r="A820" s="84">
        <v>818</v>
      </c>
      <c r="B820" s="85">
        <v>752</v>
      </c>
      <c r="C820" s="85" t="s">
        <v>39</v>
      </c>
      <c r="D820" s="175">
        <v>-116.74573999999996</v>
      </c>
      <c r="F820" s="45">
        <v>882</v>
      </c>
      <c r="G820" s="45">
        <v>895.32880000000011</v>
      </c>
      <c r="H820" s="56">
        <v>28.254260000000045</v>
      </c>
      <c r="I820" s="56">
        <v>28.254260000000045</v>
      </c>
      <c r="J820" s="148">
        <v>0</v>
      </c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  <c r="AA820" s="57"/>
      <c r="AB820" s="57"/>
      <c r="AC820" s="57"/>
      <c r="AD820" s="57"/>
      <c r="AE820" s="57"/>
      <c r="AF820" s="57"/>
      <c r="AG820" s="57"/>
      <c r="AH820" s="57"/>
      <c r="AI820" s="57"/>
      <c r="AJ820" s="57"/>
      <c r="AK820" s="57"/>
      <c r="AL820" s="57">
        <v>145</v>
      </c>
      <c r="AM820" s="57"/>
      <c r="AN820" s="57"/>
      <c r="AO820" s="57"/>
      <c r="AP820" s="57"/>
      <c r="AQ820" s="57"/>
      <c r="AR820" s="57"/>
      <c r="AS820" s="57"/>
      <c r="AT820" s="57"/>
      <c r="AU820" s="58">
        <f t="shared" si="12"/>
        <v>-116.74573999999996</v>
      </c>
      <c r="AV820" s="58"/>
    </row>
    <row r="821" spans="1:48" ht="13.5" customHeight="1">
      <c r="A821" s="82">
        <v>819</v>
      </c>
      <c r="B821" s="85">
        <v>759</v>
      </c>
      <c r="C821" s="85" t="s">
        <v>39</v>
      </c>
      <c r="D821" s="175">
        <v>59.632199999999955</v>
      </c>
      <c r="F821" s="45">
        <v>882</v>
      </c>
      <c r="G821" s="45">
        <v>1009.6592712500001</v>
      </c>
      <c r="H821" s="56">
        <v>59.632199999999955</v>
      </c>
      <c r="I821" s="56">
        <v>59.632199999999955</v>
      </c>
      <c r="J821" s="148">
        <v>0</v>
      </c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  <c r="AA821" s="57"/>
      <c r="AB821" s="57"/>
      <c r="AC821" s="57"/>
      <c r="AD821" s="57"/>
      <c r="AE821" s="57"/>
      <c r="AF821" s="57"/>
      <c r="AG821" s="57"/>
      <c r="AH821" s="57"/>
      <c r="AI821" s="57"/>
      <c r="AJ821" s="57"/>
      <c r="AK821" s="57"/>
      <c r="AL821" s="57"/>
      <c r="AM821" s="57"/>
      <c r="AN821" s="57"/>
      <c r="AO821" s="57"/>
      <c r="AP821" s="57"/>
      <c r="AQ821" s="57"/>
      <c r="AR821" s="57"/>
      <c r="AS821" s="57"/>
      <c r="AT821" s="57"/>
      <c r="AU821" s="58">
        <f t="shared" si="12"/>
        <v>59.632199999999955</v>
      </c>
      <c r="AV821" s="58"/>
    </row>
    <row r="822" spans="1:48" ht="13.5" customHeight="1">
      <c r="A822" s="84">
        <v>820</v>
      </c>
      <c r="B822" s="85">
        <v>761</v>
      </c>
      <c r="C822" s="85" t="s">
        <v>39</v>
      </c>
      <c r="D822" s="175">
        <v>46.700000000000045</v>
      </c>
      <c r="F822" s="45">
        <v>400</v>
      </c>
      <c r="G822" s="45">
        <v>339.94771500000002</v>
      </c>
      <c r="H822" s="56">
        <v>46.700000000000045</v>
      </c>
      <c r="I822" s="56">
        <v>46.700000000000045</v>
      </c>
      <c r="J822" s="148">
        <v>0</v>
      </c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7"/>
      <c r="AC822" s="57"/>
      <c r="AD822" s="57"/>
      <c r="AE822" s="57"/>
      <c r="AF822" s="57"/>
      <c r="AG822" s="57"/>
      <c r="AH822" s="57"/>
      <c r="AI822" s="57"/>
      <c r="AJ822" s="57"/>
      <c r="AK822" s="57"/>
      <c r="AL822" s="57"/>
      <c r="AM822" s="57"/>
      <c r="AN822" s="57"/>
      <c r="AO822" s="57"/>
      <c r="AP822" s="57"/>
      <c r="AQ822" s="57"/>
      <c r="AR822" s="57"/>
      <c r="AS822" s="57"/>
      <c r="AT822" s="57"/>
      <c r="AU822" s="58">
        <f t="shared" si="12"/>
        <v>46.700000000000045</v>
      </c>
      <c r="AV822" s="58"/>
    </row>
    <row r="823" spans="1:48" ht="13.5" customHeight="1">
      <c r="A823" s="82">
        <v>821</v>
      </c>
      <c r="B823" s="85">
        <v>762</v>
      </c>
      <c r="C823" s="85" t="s">
        <v>39</v>
      </c>
      <c r="D823" s="175">
        <v>-56</v>
      </c>
      <c r="F823" s="45">
        <v>400</v>
      </c>
      <c r="G823" s="45">
        <v>308.88262500000002</v>
      </c>
      <c r="H823" s="56">
        <v>-56</v>
      </c>
      <c r="I823" s="56">
        <v>-56</v>
      </c>
      <c r="J823" s="148">
        <v>0</v>
      </c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7"/>
      <c r="AC823" s="57"/>
      <c r="AD823" s="57"/>
      <c r="AE823" s="57"/>
      <c r="AF823" s="57"/>
      <c r="AG823" s="57"/>
      <c r="AH823" s="57"/>
      <c r="AI823" s="57"/>
      <c r="AJ823" s="57"/>
      <c r="AK823" s="57"/>
      <c r="AL823" s="57"/>
      <c r="AM823" s="57"/>
      <c r="AN823" s="57"/>
      <c r="AO823" s="57"/>
      <c r="AP823" s="57"/>
      <c r="AQ823" s="57"/>
      <c r="AR823" s="57"/>
      <c r="AS823" s="57"/>
      <c r="AT823" s="57"/>
      <c r="AU823" s="58">
        <f t="shared" si="12"/>
        <v>-56</v>
      </c>
      <c r="AV823" s="58"/>
    </row>
    <row r="824" spans="1:48" ht="13.5" customHeight="1">
      <c r="A824" s="84">
        <v>822</v>
      </c>
      <c r="B824" s="85">
        <v>763</v>
      </c>
      <c r="C824" s="85" t="s">
        <v>39</v>
      </c>
      <c r="D824" s="175">
        <v>52.841617500000098</v>
      </c>
      <c r="F824" s="45">
        <v>882</v>
      </c>
      <c r="G824" s="45">
        <v>879.96990000000005</v>
      </c>
      <c r="H824" s="56">
        <v>82.841617500000098</v>
      </c>
      <c r="I824" s="56">
        <v>82.841617500000098</v>
      </c>
      <c r="J824" s="148">
        <v>0</v>
      </c>
      <c r="K824" s="57"/>
      <c r="L824" s="57"/>
      <c r="M824" s="57"/>
      <c r="N824" s="57">
        <v>30</v>
      </c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7"/>
      <c r="AC824" s="57"/>
      <c r="AD824" s="57"/>
      <c r="AE824" s="57"/>
      <c r="AF824" s="57"/>
      <c r="AG824" s="57"/>
      <c r="AH824" s="57"/>
      <c r="AI824" s="57"/>
      <c r="AJ824" s="57"/>
      <c r="AK824" s="57"/>
      <c r="AL824" s="57"/>
      <c r="AM824" s="57"/>
      <c r="AN824" s="57"/>
      <c r="AO824" s="57"/>
      <c r="AP824" s="57"/>
      <c r="AQ824" s="57"/>
      <c r="AR824" s="57"/>
      <c r="AS824" s="57"/>
      <c r="AT824" s="57"/>
      <c r="AU824" s="58">
        <f t="shared" si="12"/>
        <v>52.841617500000098</v>
      </c>
      <c r="AV824" s="58"/>
    </row>
    <row r="825" spans="1:48" ht="13.5" customHeight="1">
      <c r="A825" s="84">
        <v>823</v>
      </c>
      <c r="B825" s="85">
        <v>764</v>
      </c>
      <c r="C825" s="85" t="s">
        <v>39</v>
      </c>
      <c r="D825" s="175">
        <v>-158.98229999999995</v>
      </c>
      <c r="F825" s="45">
        <v>630</v>
      </c>
      <c r="G825" s="45">
        <v>638.01700000000017</v>
      </c>
      <c r="H825" s="56">
        <v>-53.982299999999952</v>
      </c>
      <c r="I825" s="56">
        <v>-53.982299999999952</v>
      </c>
      <c r="J825" s="148">
        <v>0</v>
      </c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>
        <v>75</v>
      </c>
      <c r="Z825" s="57"/>
      <c r="AA825" s="57"/>
      <c r="AB825" s="57"/>
      <c r="AC825" s="57"/>
      <c r="AD825" s="57"/>
      <c r="AE825" s="57"/>
      <c r="AF825" s="57"/>
      <c r="AG825" s="57"/>
      <c r="AH825" s="57"/>
      <c r="AI825" s="57">
        <v>30</v>
      </c>
      <c r="AJ825" s="57"/>
      <c r="AK825" s="57"/>
      <c r="AL825" s="57"/>
      <c r="AM825" s="57"/>
      <c r="AN825" s="57"/>
      <c r="AO825" s="57"/>
      <c r="AP825" s="57"/>
      <c r="AQ825" s="57"/>
      <c r="AR825" s="57"/>
      <c r="AS825" s="57"/>
      <c r="AT825" s="57"/>
      <c r="AU825" s="58">
        <f t="shared" si="12"/>
        <v>-158.98229999999995</v>
      </c>
      <c r="AV825" s="58"/>
    </row>
    <row r="826" spans="1:48" ht="13.5" customHeight="1">
      <c r="A826" s="82">
        <v>824</v>
      </c>
      <c r="B826" s="85">
        <v>765</v>
      </c>
      <c r="C826" s="85" t="s">
        <v>39</v>
      </c>
      <c r="D826" s="175">
        <v>246.60615750000011</v>
      </c>
      <c r="F826" s="45">
        <v>882</v>
      </c>
      <c r="G826" s="45">
        <v>855.34745999999996</v>
      </c>
      <c r="H826" s="56">
        <v>246.60615750000011</v>
      </c>
      <c r="I826" s="56">
        <v>246.60615750000011</v>
      </c>
      <c r="J826" s="148">
        <v>0</v>
      </c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7"/>
      <c r="AC826" s="57"/>
      <c r="AD826" s="57"/>
      <c r="AE826" s="57"/>
      <c r="AF826" s="57"/>
      <c r="AG826" s="57"/>
      <c r="AH826" s="57"/>
      <c r="AI826" s="57"/>
      <c r="AJ826" s="57"/>
      <c r="AK826" s="57"/>
      <c r="AL826" s="57"/>
      <c r="AM826" s="57"/>
      <c r="AN826" s="57"/>
      <c r="AO826" s="57"/>
      <c r="AP826" s="57"/>
      <c r="AQ826" s="57"/>
      <c r="AR826" s="57"/>
      <c r="AS826" s="57"/>
      <c r="AT826" s="57"/>
      <c r="AU826" s="58">
        <f t="shared" si="12"/>
        <v>246.60615750000011</v>
      </c>
      <c r="AV826" s="58"/>
    </row>
    <row r="827" spans="1:48" ht="13.5" customHeight="1">
      <c r="A827" s="84">
        <v>825</v>
      </c>
      <c r="B827" s="85">
        <v>766</v>
      </c>
      <c r="C827" s="85" t="s">
        <v>39</v>
      </c>
      <c r="D827" s="175">
        <v>-25.18849124999997</v>
      </c>
      <c r="F827" s="45">
        <v>560</v>
      </c>
      <c r="G827" s="45">
        <v>200.1</v>
      </c>
      <c r="H827" s="56">
        <v>-25.18849124999997</v>
      </c>
      <c r="I827" s="56">
        <v>-25.18849124999997</v>
      </c>
      <c r="J827" s="148">
        <v>0</v>
      </c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  <c r="AA827" s="57"/>
      <c r="AB827" s="57"/>
      <c r="AC827" s="57"/>
      <c r="AD827" s="57"/>
      <c r="AE827" s="57"/>
      <c r="AF827" s="57"/>
      <c r="AG827" s="57"/>
      <c r="AH827" s="57"/>
      <c r="AI827" s="57"/>
      <c r="AJ827" s="57"/>
      <c r="AK827" s="57"/>
      <c r="AL827" s="57"/>
      <c r="AM827" s="57"/>
      <c r="AN827" s="57"/>
      <c r="AO827" s="57"/>
      <c r="AP827" s="57"/>
      <c r="AQ827" s="57"/>
      <c r="AR827" s="57"/>
      <c r="AS827" s="57"/>
      <c r="AT827" s="57"/>
      <c r="AU827" s="58">
        <f t="shared" si="12"/>
        <v>-25.18849124999997</v>
      </c>
      <c r="AV827" s="58"/>
    </row>
    <row r="828" spans="1:48" ht="13.5" customHeight="1">
      <c r="A828" s="82">
        <v>826</v>
      </c>
      <c r="B828" s="85">
        <v>767</v>
      </c>
      <c r="C828" s="85" t="s">
        <v>39</v>
      </c>
      <c r="D828" s="175">
        <v>-131.87160000000006</v>
      </c>
      <c r="F828" s="45">
        <v>630</v>
      </c>
      <c r="G828" s="45">
        <v>698</v>
      </c>
      <c r="H828" s="56">
        <v>-66.871600000000058</v>
      </c>
      <c r="I828" s="56">
        <v>-66.871600000000058</v>
      </c>
      <c r="J828" s="148">
        <v>0</v>
      </c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>
        <v>25</v>
      </c>
      <c r="X828" s="57"/>
      <c r="Y828" s="57"/>
      <c r="Z828" s="57"/>
      <c r="AA828" s="57"/>
      <c r="AB828" s="57"/>
      <c r="AC828" s="57"/>
      <c r="AD828" s="57">
        <v>40</v>
      </c>
      <c r="AE828" s="57"/>
      <c r="AF828" s="57"/>
      <c r="AG828" s="57"/>
      <c r="AH828" s="57"/>
      <c r="AI828" s="57"/>
      <c r="AJ828" s="57"/>
      <c r="AK828" s="57"/>
      <c r="AL828" s="57"/>
      <c r="AM828" s="57"/>
      <c r="AN828" s="57"/>
      <c r="AO828" s="57"/>
      <c r="AP828" s="57"/>
      <c r="AQ828" s="57"/>
      <c r="AR828" s="57"/>
      <c r="AS828" s="57"/>
      <c r="AT828" s="57"/>
      <c r="AU828" s="58">
        <f t="shared" si="12"/>
        <v>-131.87160000000006</v>
      </c>
      <c r="AV828" s="58"/>
    </row>
    <row r="829" spans="1:48" ht="13.5" customHeight="1">
      <c r="A829" s="84">
        <v>827</v>
      </c>
      <c r="B829" s="85">
        <v>768</v>
      </c>
      <c r="C829" s="85" t="s">
        <v>39</v>
      </c>
      <c r="D829" s="175">
        <v>-62</v>
      </c>
      <c r="F829" s="45">
        <v>882</v>
      </c>
      <c r="G829" s="45">
        <v>926</v>
      </c>
      <c r="H829" s="56">
        <v>-62</v>
      </c>
      <c r="I829" s="56">
        <v>-62</v>
      </c>
      <c r="J829" s="148">
        <v>0</v>
      </c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  <c r="AA829" s="57"/>
      <c r="AB829" s="57"/>
      <c r="AC829" s="57"/>
      <c r="AD829" s="57"/>
      <c r="AE829" s="57"/>
      <c r="AF829" s="57"/>
      <c r="AG829" s="57"/>
      <c r="AH829" s="57"/>
      <c r="AI829" s="57"/>
      <c r="AJ829" s="57"/>
      <c r="AK829" s="57"/>
      <c r="AL829" s="57"/>
      <c r="AM829" s="57"/>
      <c r="AN829" s="57"/>
      <c r="AO829" s="57"/>
      <c r="AP829" s="57"/>
      <c r="AQ829" s="57"/>
      <c r="AR829" s="57"/>
      <c r="AS829" s="57"/>
      <c r="AT829" s="57"/>
      <c r="AU829" s="58">
        <f t="shared" si="12"/>
        <v>-62</v>
      </c>
      <c r="AV829" s="58"/>
    </row>
    <row r="830" spans="1:48" ht="13.5" customHeight="1">
      <c r="A830" s="84">
        <v>828</v>
      </c>
      <c r="B830" s="85">
        <v>771</v>
      </c>
      <c r="C830" s="85" t="s">
        <v>39</v>
      </c>
      <c r="D830" s="175">
        <v>235.33031249999999</v>
      </c>
      <c r="F830" s="45">
        <v>560</v>
      </c>
      <c r="G830" s="45">
        <v>622.72</v>
      </c>
      <c r="H830" s="56">
        <v>235.33031249999999</v>
      </c>
      <c r="I830" s="56">
        <v>235.33031249999999</v>
      </c>
      <c r="J830" s="148">
        <v>0</v>
      </c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  <c r="AA830" s="57"/>
      <c r="AB830" s="57"/>
      <c r="AC830" s="57"/>
      <c r="AD830" s="57"/>
      <c r="AE830" s="57"/>
      <c r="AF830" s="57"/>
      <c r="AG830" s="57"/>
      <c r="AH830" s="57"/>
      <c r="AI830" s="57"/>
      <c r="AJ830" s="57"/>
      <c r="AK830" s="57"/>
      <c r="AL830" s="57"/>
      <c r="AM830" s="57"/>
      <c r="AN830" s="57"/>
      <c r="AO830" s="57"/>
      <c r="AP830" s="57"/>
      <c r="AQ830" s="57"/>
      <c r="AR830" s="57"/>
      <c r="AS830" s="57"/>
      <c r="AT830" s="57"/>
      <c r="AU830" s="58">
        <f t="shared" si="12"/>
        <v>235.33031249999999</v>
      </c>
      <c r="AV830" s="58"/>
    </row>
    <row r="831" spans="1:48" ht="13.5" customHeight="1">
      <c r="A831" s="82">
        <v>829</v>
      </c>
      <c r="B831" s="85">
        <v>777</v>
      </c>
      <c r="C831" s="85" t="s">
        <v>39</v>
      </c>
      <c r="D831" s="175">
        <v>-156.87479999999994</v>
      </c>
      <c r="F831" s="45">
        <v>882</v>
      </c>
      <c r="G831" s="45">
        <v>602.52959250000004</v>
      </c>
      <c r="H831" s="56">
        <v>-6.8747999999999365</v>
      </c>
      <c r="I831" s="56">
        <v>-6.8747999999999365</v>
      </c>
      <c r="J831" s="148">
        <v>0</v>
      </c>
      <c r="K831" s="57"/>
      <c r="L831" s="57"/>
      <c r="M831" s="57"/>
      <c r="N831" s="57"/>
      <c r="O831" s="57"/>
      <c r="P831" s="57">
        <v>100</v>
      </c>
      <c r="Q831" s="57"/>
      <c r="R831" s="57"/>
      <c r="S831" s="57"/>
      <c r="T831" s="57"/>
      <c r="U831" s="57"/>
      <c r="V831" s="57"/>
      <c r="W831" s="57"/>
      <c r="X831" s="57"/>
      <c r="Y831" s="57"/>
      <c r="Z831" s="57"/>
      <c r="AA831" s="57"/>
      <c r="AB831" s="57"/>
      <c r="AC831" s="57"/>
      <c r="AD831" s="57"/>
      <c r="AE831" s="57"/>
      <c r="AF831" s="57"/>
      <c r="AG831" s="57"/>
      <c r="AH831" s="57">
        <v>20</v>
      </c>
      <c r="AI831" s="57"/>
      <c r="AJ831" s="57"/>
      <c r="AK831" s="57"/>
      <c r="AL831" s="57">
        <v>30</v>
      </c>
      <c r="AM831" s="57"/>
      <c r="AN831" s="57"/>
      <c r="AO831" s="57"/>
      <c r="AP831" s="57"/>
      <c r="AQ831" s="57"/>
      <c r="AR831" s="57"/>
      <c r="AS831" s="57"/>
      <c r="AT831" s="57"/>
      <c r="AU831" s="58">
        <f t="shared" si="12"/>
        <v>-156.87479999999994</v>
      </c>
      <c r="AV831" s="58"/>
    </row>
    <row r="832" spans="1:48" ht="13.5" customHeight="1">
      <c r="A832" s="84">
        <v>830</v>
      </c>
      <c r="B832" s="85">
        <v>779</v>
      </c>
      <c r="C832" s="85" t="s">
        <v>39</v>
      </c>
      <c r="D832" s="175">
        <v>136.03163999999998</v>
      </c>
      <c r="F832" s="45">
        <v>882</v>
      </c>
      <c r="G832" s="45">
        <v>871.87639999999999</v>
      </c>
      <c r="H832" s="56">
        <v>333.03163999999998</v>
      </c>
      <c r="I832" s="56">
        <v>333.03163999999998</v>
      </c>
      <c r="J832" s="148">
        <v>0</v>
      </c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  <c r="AA832" s="57"/>
      <c r="AB832" s="57">
        <v>150</v>
      </c>
      <c r="AC832" s="57"/>
      <c r="AD832" s="57"/>
      <c r="AE832" s="57"/>
      <c r="AF832" s="57"/>
      <c r="AG832" s="57"/>
      <c r="AH832" s="57">
        <v>47</v>
      </c>
      <c r="AI832" s="57"/>
      <c r="AJ832" s="57"/>
      <c r="AK832" s="57"/>
      <c r="AL832" s="57"/>
      <c r="AM832" s="57"/>
      <c r="AN832" s="57"/>
      <c r="AO832" s="57"/>
      <c r="AP832" s="57"/>
      <c r="AQ832" s="57"/>
      <c r="AR832" s="57"/>
      <c r="AS832" s="57"/>
      <c r="AT832" s="57"/>
      <c r="AU832" s="58">
        <f t="shared" si="12"/>
        <v>136.03163999999998</v>
      </c>
      <c r="AV832" s="58"/>
    </row>
    <row r="833" spans="1:48" ht="13.5" customHeight="1">
      <c r="A833" s="82">
        <v>831</v>
      </c>
      <c r="B833" s="85">
        <v>784</v>
      </c>
      <c r="C833" s="85" t="s">
        <v>39</v>
      </c>
      <c r="D833" s="175">
        <v>-49.847891249999975</v>
      </c>
      <c r="F833" s="45">
        <v>882</v>
      </c>
      <c r="G833" s="45">
        <v>656.21489999999994</v>
      </c>
      <c r="H833" s="56">
        <v>29.152108750000025</v>
      </c>
      <c r="I833" s="56">
        <v>29.152108750000025</v>
      </c>
      <c r="J833" s="148">
        <v>0</v>
      </c>
      <c r="K833" s="57">
        <v>32</v>
      </c>
      <c r="L833" s="57">
        <v>17</v>
      </c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  <c r="AA833" s="57"/>
      <c r="AB833" s="57">
        <v>30</v>
      </c>
      <c r="AC833" s="57"/>
      <c r="AD833" s="57"/>
      <c r="AE833" s="57"/>
      <c r="AF833" s="57"/>
      <c r="AG833" s="57"/>
      <c r="AH833" s="57"/>
      <c r="AI833" s="57"/>
      <c r="AJ833" s="57"/>
      <c r="AK833" s="57"/>
      <c r="AL833" s="57"/>
      <c r="AM833" s="57"/>
      <c r="AN833" s="57"/>
      <c r="AO833" s="57"/>
      <c r="AP833" s="57"/>
      <c r="AQ833" s="57"/>
      <c r="AR833" s="57"/>
      <c r="AS833" s="57"/>
      <c r="AT833" s="57"/>
      <c r="AU833" s="58">
        <f t="shared" si="12"/>
        <v>-49.847891249999975</v>
      </c>
      <c r="AV833" s="58"/>
    </row>
    <row r="834" spans="1:48" ht="13.5" customHeight="1">
      <c r="A834" s="84">
        <v>832</v>
      </c>
      <c r="B834" s="85">
        <v>785</v>
      </c>
      <c r="C834" s="85" t="s">
        <v>39</v>
      </c>
      <c r="D834" s="175">
        <v>111.82367999999997</v>
      </c>
      <c r="F834" s="45">
        <v>882</v>
      </c>
      <c r="G834" s="45">
        <v>657.21540000000005</v>
      </c>
      <c r="H834" s="56">
        <v>156.82367999999997</v>
      </c>
      <c r="I834" s="56">
        <v>156.82367999999997</v>
      </c>
      <c r="J834" s="148">
        <v>0</v>
      </c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>
        <v>45</v>
      </c>
      <c r="W834" s="57"/>
      <c r="X834" s="57"/>
      <c r="Y834" s="57"/>
      <c r="Z834" s="57"/>
      <c r="AA834" s="57"/>
      <c r="AB834" s="57"/>
      <c r="AC834" s="57"/>
      <c r="AD834" s="57"/>
      <c r="AE834" s="57"/>
      <c r="AF834" s="57"/>
      <c r="AG834" s="57"/>
      <c r="AH834" s="57"/>
      <c r="AI834" s="57"/>
      <c r="AJ834" s="57"/>
      <c r="AK834" s="57"/>
      <c r="AL834" s="57"/>
      <c r="AM834" s="57"/>
      <c r="AN834" s="57"/>
      <c r="AO834" s="57"/>
      <c r="AP834" s="57"/>
      <c r="AQ834" s="57"/>
      <c r="AR834" s="57"/>
      <c r="AS834" s="57"/>
      <c r="AT834" s="57"/>
      <c r="AU834" s="58">
        <f t="shared" si="12"/>
        <v>111.82367999999997</v>
      </c>
      <c r="AV834" s="58"/>
    </row>
    <row r="835" spans="1:48" ht="13.5" customHeight="1">
      <c r="A835" s="84">
        <v>833</v>
      </c>
      <c r="B835" s="85">
        <v>786</v>
      </c>
      <c r="C835" s="85" t="s">
        <v>39</v>
      </c>
      <c r="D835" s="175">
        <v>302.12933499999997</v>
      </c>
      <c r="F835" s="45">
        <v>882</v>
      </c>
      <c r="G835" s="45">
        <v>900</v>
      </c>
      <c r="H835" s="56">
        <v>302.12933499999997</v>
      </c>
      <c r="I835" s="56">
        <v>302.12933499999997</v>
      </c>
      <c r="J835" s="148">
        <v>0</v>
      </c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  <c r="AA835" s="57"/>
      <c r="AB835" s="57"/>
      <c r="AC835" s="57"/>
      <c r="AD835" s="57"/>
      <c r="AE835" s="57"/>
      <c r="AF835" s="57"/>
      <c r="AG835" s="57"/>
      <c r="AH835" s="57"/>
      <c r="AI835" s="57"/>
      <c r="AJ835" s="57"/>
      <c r="AK835" s="57"/>
      <c r="AL835" s="57"/>
      <c r="AM835" s="57"/>
      <c r="AN835" s="57"/>
      <c r="AO835" s="57"/>
      <c r="AP835" s="57"/>
      <c r="AQ835" s="57"/>
      <c r="AR835" s="57"/>
      <c r="AS835" s="57"/>
      <c r="AT835" s="57"/>
      <c r="AU835" s="58">
        <f t="shared" si="12"/>
        <v>302.12933499999997</v>
      </c>
      <c r="AV835" s="58"/>
    </row>
    <row r="836" spans="1:48" ht="13.5" customHeight="1">
      <c r="A836" s="82">
        <v>834</v>
      </c>
      <c r="B836" s="85">
        <v>787</v>
      </c>
      <c r="C836" s="85" t="s">
        <v>39</v>
      </c>
      <c r="D836" s="175">
        <v>236.52285749999999</v>
      </c>
      <c r="F836" s="45">
        <v>882</v>
      </c>
      <c r="G836" s="45">
        <v>475.10399999999998</v>
      </c>
      <c r="H836" s="56">
        <v>236.52285749999999</v>
      </c>
      <c r="I836" s="56">
        <v>236.52285749999999</v>
      </c>
      <c r="J836" s="148">
        <v>0</v>
      </c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  <c r="AA836" s="57"/>
      <c r="AB836" s="57"/>
      <c r="AC836" s="57"/>
      <c r="AD836" s="57"/>
      <c r="AE836" s="57"/>
      <c r="AF836" s="57"/>
      <c r="AG836" s="57"/>
      <c r="AH836" s="57"/>
      <c r="AI836" s="57"/>
      <c r="AJ836" s="57"/>
      <c r="AK836" s="57"/>
      <c r="AL836" s="57"/>
      <c r="AM836" s="57"/>
      <c r="AN836" s="57"/>
      <c r="AO836" s="57"/>
      <c r="AP836" s="57"/>
      <c r="AQ836" s="57"/>
      <c r="AR836" s="57"/>
      <c r="AS836" s="57"/>
      <c r="AT836" s="57"/>
      <c r="AU836" s="58">
        <f t="shared" ref="AU836:AU899" si="13">I836-J836-K836-L836-M836-N836-O836-P836-Q836-R836-S836-T836-U836-V836-W836-X836-Y836-Z836-AA836-AB836-AC836-AD836-AE836-AF836-AG836-AH836-AI836-AJ836-AK836-AL836-AM836-AN836-AO836-AP836-AQ836-AR836-AS836-AT836</f>
        <v>236.52285749999999</v>
      </c>
      <c r="AV836" s="58"/>
    </row>
    <row r="837" spans="1:48" ht="13.5" customHeight="1">
      <c r="A837" s="84">
        <v>835</v>
      </c>
      <c r="B837" s="85">
        <v>788</v>
      </c>
      <c r="C837" s="85" t="s">
        <v>39</v>
      </c>
      <c r="D837" s="175">
        <v>-208.73292000000001</v>
      </c>
      <c r="F837" s="45">
        <v>400</v>
      </c>
      <c r="G837" s="45">
        <v>164.64750000000001</v>
      </c>
      <c r="H837" s="56">
        <v>20.357079999999996</v>
      </c>
      <c r="I837" s="56">
        <v>20.357079999999996</v>
      </c>
      <c r="J837" s="148">
        <v>0</v>
      </c>
      <c r="K837" s="57">
        <v>69.37</v>
      </c>
      <c r="L837" s="57">
        <v>49.72</v>
      </c>
      <c r="M837" s="57"/>
      <c r="N837" s="57"/>
      <c r="O837" s="57">
        <v>40</v>
      </c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7"/>
      <c r="AC837" s="57"/>
      <c r="AD837" s="57">
        <v>70</v>
      </c>
      <c r="AE837" s="57"/>
      <c r="AF837" s="57"/>
      <c r="AG837" s="57"/>
      <c r="AH837" s="57"/>
      <c r="AI837" s="57"/>
      <c r="AJ837" s="57"/>
      <c r="AK837" s="57"/>
      <c r="AL837" s="57"/>
      <c r="AM837" s="57"/>
      <c r="AN837" s="57"/>
      <c r="AO837" s="57"/>
      <c r="AP837" s="57"/>
      <c r="AQ837" s="57"/>
      <c r="AR837" s="57"/>
      <c r="AS837" s="57"/>
      <c r="AT837" s="57"/>
      <c r="AU837" s="58">
        <f t="shared" si="13"/>
        <v>-208.73292000000001</v>
      </c>
      <c r="AV837" s="58"/>
    </row>
    <row r="838" spans="1:48" ht="13.5" customHeight="1">
      <c r="A838" s="82">
        <v>836</v>
      </c>
      <c r="B838" s="85">
        <v>789</v>
      </c>
      <c r="C838" s="85" t="s">
        <v>39</v>
      </c>
      <c r="D838" s="175">
        <v>-144.86958000000004</v>
      </c>
      <c r="F838" s="45">
        <v>560</v>
      </c>
      <c r="G838" s="45">
        <v>500.56145999999995</v>
      </c>
      <c r="H838" s="56">
        <v>210.13041999999996</v>
      </c>
      <c r="I838" s="56">
        <v>210.13041999999996</v>
      </c>
      <c r="J838" s="148">
        <v>0</v>
      </c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>
        <v>355</v>
      </c>
      <c r="V838" s="57"/>
      <c r="W838" s="57"/>
      <c r="X838" s="57"/>
      <c r="Y838" s="57"/>
      <c r="Z838" s="57"/>
      <c r="AA838" s="57"/>
      <c r="AB838" s="57"/>
      <c r="AC838" s="57"/>
      <c r="AD838" s="57"/>
      <c r="AE838" s="57"/>
      <c r="AF838" s="57"/>
      <c r="AG838" s="57"/>
      <c r="AH838" s="57"/>
      <c r="AI838" s="57"/>
      <c r="AJ838" s="57"/>
      <c r="AK838" s="57"/>
      <c r="AL838" s="57"/>
      <c r="AM838" s="57"/>
      <c r="AN838" s="57"/>
      <c r="AO838" s="57"/>
      <c r="AP838" s="57"/>
      <c r="AQ838" s="57"/>
      <c r="AR838" s="57"/>
      <c r="AS838" s="57"/>
      <c r="AT838" s="57"/>
      <c r="AU838" s="58">
        <f t="shared" si="13"/>
        <v>-144.86958000000004</v>
      </c>
      <c r="AV838" s="58"/>
    </row>
    <row r="839" spans="1:48" ht="13.5" customHeight="1">
      <c r="A839" s="84">
        <v>837</v>
      </c>
      <c r="B839" s="85">
        <v>790</v>
      </c>
      <c r="C839" s="85" t="s">
        <v>39</v>
      </c>
      <c r="D839" s="175">
        <v>102.02600000000001</v>
      </c>
      <c r="F839" s="45">
        <v>882</v>
      </c>
      <c r="G839" s="45">
        <v>493.19675999999993</v>
      </c>
      <c r="H839" s="56">
        <v>102.02600000000001</v>
      </c>
      <c r="I839" s="56">
        <v>102.02600000000001</v>
      </c>
      <c r="J839" s="148">
        <v>0</v>
      </c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  <c r="AA839" s="57"/>
      <c r="AB839" s="57"/>
      <c r="AC839" s="57"/>
      <c r="AD839" s="57"/>
      <c r="AE839" s="57"/>
      <c r="AF839" s="57"/>
      <c r="AG839" s="57"/>
      <c r="AH839" s="57"/>
      <c r="AI839" s="57"/>
      <c r="AJ839" s="57"/>
      <c r="AK839" s="57"/>
      <c r="AL839" s="57"/>
      <c r="AM839" s="57"/>
      <c r="AN839" s="57"/>
      <c r="AO839" s="57"/>
      <c r="AP839" s="57"/>
      <c r="AQ839" s="57"/>
      <c r="AR839" s="57"/>
      <c r="AS839" s="57"/>
      <c r="AT839" s="57"/>
      <c r="AU839" s="58">
        <f t="shared" si="13"/>
        <v>102.02600000000001</v>
      </c>
      <c r="AV839" s="58"/>
    </row>
    <row r="840" spans="1:48" ht="13.5" customHeight="1">
      <c r="A840" s="84">
        <v>838</v>
      </c>
      <c r="B840" s="85">
        <v>793</v>
      </c>
      <c r="C840" s="85" t="s">
        <v>39</v>
      </c>
      <c r="D840" s="175">
        <v>-21.87639999999999</v>
      </c>
      <c r="F840" s="45">
        <v>882</v>
      </c>
      <c r="G840" s="45">
        <v>942</v>
      </c>
      <c r="H840" s="56">
        <v>-21.87639999999999</v>
      </c>
      <c r="I840" s="56">
        <v>-21.87639999999999</v>
      </c>
      <c r="J840" s="148">
        <v>0</v>
      </c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7"/>
      <c r="AC840" s="57"/>
      <c r="AD840" s="57"/>
      <c r="AE840" s="57"/>
      <c r="AF840" s="57"/>
      <c r="AG840" s="57"/>
      <c r="AH840" s="57"/>
      <c r="AI840" s="57"/>
      <c r="AJ840" s="57"/>
      <c r="AK840" s="57"/>
      <c r="AL840" s="57"/>
      <c r="AM840" s="57"/>
      <c r="AN840" s="57"/>
      <c r="AO840" s="57"/>
      <c r="AP840" s="57"/>
      <c r="AQ840" s="57"/>
      <c r="AR840" s="57"/>
      <c r="AS840" s="57"/>
      <c r="AT840" s="57"/>
      <c r="AU840" s="58">
        <f t="shared" si="13"/>
        <v>-21.87639999999999</v>
      </c>
      <c r="AV840" s="58"/>
    </row>
    <row r="841" spans="1:48" ht="13.5" customHeight="1">
      <c r="A841" s="82">
        <v>839</v>
      </c>
      <c r="B841" s="85">
        <v>794</v>
      </c>
      <c r="C841" s="85" t="s">
        <v>39</v>
      </c>
      <c r="D841" s="175">
        <v>99.609000000000037</v>
      </c>
      <c r="F841" s="45">
        <v>882</v>
      </c>
      <c r="G841" s="45">
        <v>950</v>
      </c>
      <c r="H841" s="56">
        <v>99.609000000000037</v>
      </c>
      <c r="I841" s="56">
        <v>99.609000000000037</v>
      </c>
      <c r="J841" s="148">
        <v>0</v>
      </c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7"/>
      <c r="AC841" s="57"/>
      <c r="AD841" s="57"/>
      <c r="AE841" s="57"/>
      <c r="AF841" s="57"/>
      <c r="AG841" s="57"/>
      <c r="AH841" s="57"/>
      <c r="AI841" s="57"/>
      <c r="AJ841" s="57"/>
      <c r="AK841" s="57"/>
      <c r="AL841" s="57"/>
      <c r="AM841" s="57"/>
      <c r="AN841" s="57"/>
      <c r="AO841" s="57"/>
      <c r="AP841" s="57"/>
      <c r="AQ841" s="57"/>
      <c r="AR841" s="57"/>
      <c r="AS841" s="57"/>
      <c r="AT841" s="57"/>
      <c r="AU841" s="58">
        <f t="shared" si="13"/>
        <v>99.609000000000037</v>
      </c>
      <c r="AV841" s="58"/>
    </row>
    <row r="842" spans="1:48" ht="13.5" customHeight="1">
      <c r="A842" s="84">
        <v>840</v>
      </c>
      <c r="B842" s="85">
        <v>795</v>
      </c>
      <c r="C842" s="85" t="s">
        <v>39</v>
      </c>
      <c r="D842" s="175">
        <v>-41.5</v>
      </c>
      <c r="F842" s="45">
        <v>882</v>
      </c>
      <c r="G842" s="45">
        <v>391.21600000000001</v>
      </c>
      <c r="H842" s="56">
        <v>-41.5</v>
      </c>
      <c r="I842" s="56">
        <v>-41.5</v>
      </c>
      <c r="J842" s="148">
        <v>0</v>
      </c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7"/>
      <c r="AC842" s="57"/>
      <c r="AD842" s="57"/>
      <c r="AE842" s="57"/>
      <c r="AF842" s="57"/>
      <c r="AG842" s="57"/>
      <c r="AH842" s="57"/>
      <c r="AI842" s="57"/>
      <c r="AJ842" s="57"/>
      <c r="AK842" s="57"/>
      <c r="AL842" s="57"/>
      <c r="AM842" s="57"/>
      <c r="AN842" s="57"/>
      <c r="AO842" s="57"/>
      <c r="AP842" s="57"/>
      <c r="AQ842" s="57"/>
      <c r="AR842" s="57"/>
      <c r="AS842" s="57"/>
      <c r="AT842" s="57"/>
      <c r="AU842" s="58">
        <f t="shared" si="13"/>
        <v>-41.5</v>
      </c>
      <c r="AV842" s="58"/>
    </row>
    <row r="843" spans="1:48" ht="13.5" customHeight="1">
      <c r="A843" s="82">
        <v>841</v>
      </c>
      <c r="B843" s="85">
        <v>796</v>
      </c>
      <c r="C843" s="85" t="s">
        <v>39</v>
      </c>
      <c r="D843" s="175">
        <v>-78.807900000000245</v>
      </c>
      <c r="F843" s="45">
        <v>882</v>
      </c>
      <c r="G843" s="45">
        <v>609</v>
      </c>
      <c r="H843" s="56">
        <v>-38.807900000000245</v>
      </c>
      <c r="I843" s="56">
        <v>-38.807900000000245</v>
      </c>
      <c r="J843" s="148">
        <v>0</v>
      </c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7"/>
      <c r="AC843" s="57"/>
      <c r="AD843" s="57"/>
      <c r="AE843" s="57"/>
      <c r="AF843" s="57"/>
      <c r="AG843" s="57"/>
      <c r="AH843" s="57"/>
      <c r="AI843" s="57"/>
      <c r="AJ843" s="57"/>
      <c r="AK843" s="57"/>
      <c r="AL843" s="57"/>
      <c r="AM843" s="57"/>
      <c r="AN843" s="57"/>
      <c r="AO843" s="57"/>
      <c r="AP843" s="57"/>
      <c r="AQ843" s="57">
        <v>40</v>
      </c>
      <c r="AR843" s="57"/>
      <c r="AS843" s="57"/>
      <c r="AT843" s="57"/>
      <c r="AU843" s="58">
        <f t="shared" si="13"/>
        <v>-78.807900000000245</v>
      </c>
      <c r="AV843" s="58"/>
    </row>
    <row r="844" spans="1:48" ht="13.5" customHeight="1">
      <c r="A844" s="84">
        <v>842</v>
      </c>
      <c r="B844" s="85">
        <v>797</v>
      </c>
      <c r="C844" s="85" t="s">
        <v>39</v>
      </c>
      <c r="D844" s="175">
        <v>-137.63787000000002</v>
      </c>
      <c r="F844" s="45">
        <v>400</v>
      </c>
      <c r="G844" s="45">
        <v>287.10000000000002</v>
      </c>
      <c r="H844" s="56">
        <v>42.362129999999979</v>
      </c>
      <c r="I844" s="56">
        <v>42.362129999999979</v>
      </c>
      <c r="J844" s="148">
        <v>0</v>
      </c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  <c r="AA844" s="57"/>
      <c r="AB844" s="57"/>
      <c r="AC844" s="57"/>
      <c r="AD844" s="57"/>
      <c r="AE844" s="57"/>
      <c r="AF844" s="57"/>
      <c r="AG844" s="57"/>
      <c r="AH844" s="57"/>
      <c r="AI844" s="57"/>
      <c r="AJ844" s="57"/>
      <c r="AK844" s="57"/>
      <c r="AL844" s="57"/>
      <c r="AM844" s="57">
        <v>180</v>
      </c>
      <c r="AN844" s="57"/>
      <c r="AO844" s="57"/>
      <c r="AP844" s="57"/>
      <c r="AQ844" s="57"/>
      <c r="AR844" s="57"/>
      <c r="AS844" s="57"/>
      <c r="AT844" s="57"/>
      <c r="AU844" s="58">
        <f t="shared" si="13"/>
        <v>-137.63787000000002</v>
      </c>
      <c r="AV844" s="58"/>
    </row>
    <row r="845" spans="1:48" ht="13.5" customHeight="1">
      <c r="A845" s="84">
        <v>843</v>
      </c>
      <c r="B845" s="85">
        <v>798</v>
      </c>
      <c r="C845" s="85" t="s">
        <v>39</v>
      </c>
      <c r="D845" s="175">
        <v>-66.747641250000015</v>
      </c>
      <c r="F845" s="45">
        <v>448</v>
      </c>
      <c r="G845" s="45">
        <v>290.49299999999999</v>
      </c>
      <c r="H845" s="56">
        <v>-66.747641250000015</v>
      </c>
      <c r="I845" s="56">
        <v>-66.747641250000015</v>
      </c>
      <c r="J845" s="148">
        <v>0</v>
      </c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  <c r="AA845" s="57"/>
      <c r="AB845" s="57"/>
      <c r="AC845" s="57"/>
      <c r="AD845" s="57"/>
      <c r="AE845" s="57"/>
      <c r="AF845" s="57"/>
      <c r="AG845" s="57"/>
      <c r="AH845" s="57"/>
      <c r="AI845" s="57"/>
      <c r="AJ845" s="57"/>
      <c r="AK845" s="57"/>
      <c r="AL845" s="57"/>
      <c r="AM845" s="57"/>
      <c r="AN845" s="57"/>
      <c r="AO845" s="57"/>
      <c r="AP845" s="57"/>
      <c r="AQ845" s="57"/>
      <c r="AR845" s="57"/>
      <c r="AS845" s="57"/>
      <c r="AT845" s="57"/>
      <c r="AU845" s="58">
        <f t="shared" si="13"/>
        <v>-66.747641250000015</v>
      </c>
      <c r="AV845" s="58"/>
    </row>
    <row r="846" spans="1:48" ht="13.5" customHeight="1">
      <c r="A846" s="82">
        <v>844</v>
      </c>
      <c r="B846" s="85">
        <v>799</v>
      </c>
      <c r="C846" s="85" t="s">
        <v>39</v>
      </c>
      <c r="D846" s="175">
        <v>232.42079999999999</v>
      </c>
      <c r="F846" s="45">
        <v>882</v>
      </c>
      <c r="G846" s="45">
        <v>873.45868500000006</v>
      </c>
      <c r="H846" s="56">
        <v>232.42079999999999</v>
      </c>
      <c r="I846" s="56">
        <v>262.42079999999999</v>
      </c>
      <c r="J846" s="148">
        <v>30</v>
      </c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  <c r="AA846" s="57"/>
      <c r="AB846" s="57"/>
      <c r="AC846" s="57"/>
      <c r="AD846" s="57"/>
      <c r="AE846" s="57"/>
      <c r="AF846" s="57"/>
      <c r="AG846" s="57"/>
      <c r="AH846" s="57"/>
      <c r="AI846" s="57"/>
      <c r="AJ846" s="57"/>
      <c r="AK846" s="57"/>
      <c r="AL846" s="57"/>
      <c r="AM846" s="57"/>
      <c r="AN846" s="57"/>
      <c r="AO846" s="57"/>
      <c r="AP846" s="57"/>
      <c r="AQ846" s="57"/>
      <c r="AR846" s="57"/>
      <c r="AS846" s="57"/>
      <c r="AT846" s="57"/>
      <c r="AU846" s="58">
        <f t="shared" si="13"/>
        <v>232.42079999999999</v>
      </c>
      <c r="AV846" s="58"/>
    </row>
    <row r="847" spans="1:48" ht="13.5" customHeight="1">
      <c r="A847" s="84">
        <v>845</v>
      </c>
      <c r="B847" s="85">
        <v>800</v>
      </c>
      <c r="C847" s="85" t="s">
        <v>39</v>
      </c>
      <c r="D847" s="175">
        <v>597.79999999999995</v>
      </c>
      <c r="F847" s="45">
        <v>350</v>
      </c>
      <c r="G847" s="45">
        <v>412</v>
      </c>
      <c r="H847" s="56">
        <v>597.79999999999995</v>
      </c>
      <c r="I847" s="56">
        <v>597.79999999999995</v>
      </c>
      <c r="J847" s="148">
        <v>0</v>
      </c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  <c r="AA847" s="57"/>
      <c r="AB847" s="57"/>
      <c r="AC847" s="57"/>
      <c r="AD847" s="57"/>
      <c r="AE847" s="57"/>
      <c r="AF847" s="57"/>
      <c r="AG847" s="57"/>
      <c r="AH847" s="57"/>
      <c r="AI847" s="57"/>
      <c r="AJ847" s="57"/>
      <c r="AK847" s="57"/>
      <c r="AL847" s="57"/>
      <c r="AM847" s="57"/>
      <c r="AN847" s="57"/>
      <c r="AO847" s="57"/>
      <c r="AP847" s="57"/>
      <c r="AQ847" s="57"/>
      <c r="AR847" s="57"/>
      <c r="AS847" s="57"/>
      <c r="AT847" s="57"/>
      <c r="AU847" s="58">
        <f t="shared" si="13"/>
        <v>597.79999999999995</v>
      </c>
      <c r="AV847" s="58"/>
    </row>
    <row r="848" spans="1:48" ht="13.5" customHeight="1">
      <c r="A848" s="82">
        <v>846</v>
      </c>
      <c r="B848" s="85">
        <v>804</v>
      </c>
      <c r="C848" s="85" t="s">
        <v>39</v>
      </c>
      <c r="D848" s="175">
        <v>-52.10205499999995</v>
      </c>
      <c r="F848" s="45">
        <v>882</v>
      </c>
      <c r="G848" s="45">
        <v>845.32679999999993</v>
      </c>
      <c r="H848" s="56">
        <v>-52.10205499999995</v>
      </c>
      <c r="I848" s="56">
        <v>-52.10205499999995</v>
      </c>
      <c r="J848" s="148">
        <v>0</v>
      </c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  <c r="AA848" s="57"/>
      <c r="AB848" s="57"/>
      <c r="AC848" s="57"/>
      <c r="AD848" s="57"/>
      <c r="AE848" s="57"/>
      <c r="AF848" s="57"/>
      <c r="AG848" s="57"/>
      <c r="AH848" s="57"/>
      <c r="AI848" s="57"/>
      <c r="AJ848" s="57"/>
      <c r="AK848" s="57"/>
      <c r="AL848" s="57"/>
      <c r="AM848" s="57"/>
      <c r="AN848" s="57"/>
      <c r="AO848" s="57"/>
      <c r="AP848" s="57"/>
      <c r="AQ848" s="57"/>
      <c r="AR848" s="57"/>
      <c r="AS848" s="57"/>
      <c r="AT848" s="57"/>
      <c r="AU848" s="58">
        <f t="shared" si="13"/>
        <v>-52.10205499999995</v>
      </c>
      <c r="AV848" s="58"/>
    </row>
    <row r="849" spans="1:48" ht="13.5" customHeight="1">
      <c r="A849" s="84">
        <v>847</v>
      </c>
      <c r="B849" s="85">
        <v>805</v>
      </c>
      <c r="C849" s="85" t="s">
        <v>39</v>
      </c>
      <c r="D849" s="175">
        <v>-176.25987499999997</v>
      </c>
      <c r="F849" s="45">
        <v>882</v>
      </c>
      <c r="G849" s="45">
        <v>888.55535999999995</v>
      </c>
      <c r="H849" s="56">
        <v>-56.259874999999965</v>
      </c>
      <c r="I849" s="56">
        <v>-56.259874999999965</v>
      </c>
      <c r="J849" s="148">
        <v>0</v>
      </c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>
        <v>120</v>
      </c>
      <c r="AA849" s="57"/>
      <c r="AB849" s="57"/>
      <c r="AC849" s="57"/>
      <c r="AD849" s="57"/>
      <c r="AE849" s="57"/>
      <c r="AF849" s="57"/>
      <c r="AG849" s="57"/>
      <c r="AH849" s="57"/>
      <c r="AI849" s="57"/>
      <c r="AJ849" s="57"/>
      <c r="AK849" s="57"/>
      <c r="AL849" s="57"/>
      <c r="AM849" s="57"/>
      <c r="AN849" s="57"/>
      <c r="AO849" s="57"/>
      <c r="AP849" s="57"/>
      <c r="AQ849" s="57"/>
      <c r="AR849" s="57"/>
      <c r="AS849" s="57"/>
      <c r="AT849" s="57"/>
      <c r="AU849" s="58">
        <f t="shared" si="13"/>
        <v>-176.25987499999997</v>
      </c>
      <c r="AV849" s="58"/>
    </row>
    <row r="850" spans="1:48" ht="13.5" customHeight="1">
      <c r="A850" s="84">
        <v>848</v>
      </c>
      <c r="B850" s="85">
        <v>806</v>
      </c>
      <c r="C850" s="85" t="s">
        <v>39</v>
      </c>
      <c r="D850" s="175">
        <v>-63.279162499999984</v>
      </c>
      <c r="F850" s="45">
        <v>882</v>
      </c>
      <c r="G850" s="45">
        <v>560.76545999999996</v>
      </c>
      <c r="H850" s="56">
        <v>16.720837500000016</v>
      </c>
      <c r="I850" s="56">
        <v>16.720837500000016</v>
      </c>
      <c r="J850" s="148">
        <v>0</v>
      </c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  <c r="AA850" s="57"/>
      <c r="AB850" s="57"/>
      <c r="AC850" s="57"/>
      <c r="AD850" s="57"/>
      <c r="AE850" s="57"/>
      <c r="AF850" s="57"/>
      <c r="AG850" s="57"/>
      <c r="AH850" s="57"/>
      <c r="AI850" s="57"/>
      <c r="AJ850" s="57"/>
      <c r="AK850" s="57"/>
      <c r="AL850" s="57"/>
      <c r="AM850" s="57"/>
      <c r="AN850" s="57"/>
      <c r="AO850" s="57"/>
      <c r="AP850" s="57"/>
      <c r="AQ850" s="57"/>
      <c r="AR850" s="57">
        <v>40</v>
      </c>
      <c r="AS850" s="57">
        <v>40</v>
      </c>
      <c r="AT850" s="57"/>
      <c r="AU850" s="58">
        <f t="shared" si="13"/>
        <v>-63.279162499999984</v>
      </c>
      <c r="AV850" s="58"/>
    </row>
    <row r="851" spans="1:48" ht="13.5" customHeight="1">
      <c r="A851" s="82">
        <v>849</v>
      </c>
      <c r="B851" s="85">
        <v>807</v>
      </c>
      <c r="C851" s="85" t="s">
        <v>39</v>
      </c>
      <c r="D851" s="175">
        <v>-154.70880000000002</v>
      </c>
      <c r="F851" s="45">
        <v>400</v>
      </c>
      <c r="G851" s="45">
        <v>212.28</v>
      </c>
      <c r="H851" s="56">
        <v>-56.708800000000018</v>
      </c>
      <c r="I851" s="56">
        <v>-56.708800000000018</v>
      </c>
      <c r="J851" s="148">
        <v>0</v>
      </c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  <c r="AA851" s="57"/>
      <c r="AB851" s="57"/>
      <c r="AC851" s="57"/>
      <c r="AD851" s="57"/>
      <c r="AE851" s="57"/>
      <c r="AF851" s="57"/>
      <c r="AG851" s="57">
        <v>98</v>
      </c>
      <c r="AH851" s="57"/>
      <c r="AI851" s="57"/>
      <c r="AJ851" s="57"/>
      <c r="AK851" s="57"/>
      <c r="AL851" s="57"/>
      <c r="AM851" s="57"/>
      <c r="AN851" s="57"/>
      <c r="AO851" s="57"/>
      <c r="AP851" s="57"/>
      <c r="AQ851" s="57"/>
      <c r="AR851" s="57"/>
      <c r="AS851" s="57"/>
      <c r="AT851" s="57"/>
      <c r="AU851" s="58">
        <f t="shared" si="13"/>
        <v>-154.70880000000002</v>
      </c>
      <c r="AV851" s="58"/>
    </row>
    <row r="852" spans="1:48" ht="13.5" customHeight="1">
      <c r="A852" s="84">
        <v>850</v>
      </c>
      <c r="B852" s="85">
        <v>808</v>
      </c>
      <c r="C852" s="85" t="s">
        <v>39</v>
      </c>
      <c r="D852" s="175">
        <v>129.94242000000008</v>
      </c>
      <c r="F852" s="45">
        <v>560</v>
      </c>
      <c r="G852" s="45">
        <v>373.44706500000001</v>
      </c>
      <c r="H852" s="56">
        <v>129.94242000000008</v>
      </c>
      <c r="I852" s="56">
        <v>129.94242000000008</v>
      </c>
      <c r="J852" s="148">
        <v>0</v>
      </c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  <c r="AA852" s="57"/>
      <c r="AB852" s="57"/>
      <c r="AC852" s="57"/>
      <c r="AD852" s="57"/>
      <c r="AE852" s="57"/>
      <c r="AF852" s="57"/>
      <c r="AG852" s="57"/>
      <c r="AH852" s="57"/>
      <c r="AI852" s="57"/>
      <c r="AJ852" s="57"/>
      <c r="AK852" s="57"/>
      <c r="AL852" s="57"/>
      <c r="AM852" s="57"/>
      <c r="AN852" s="57"/>
      <c r="AO852" s="57"/>
      <c r="AP852" s="57"/>
      <c r="AQ852" s="57"/>
      <c r="AR852" s="57"/>
      <c r="AS852" s="57"/>
      <c r="AT852" s="57"/>
      <c r="AU852" s="58">
        <f t="shared" si="13"/>
        <v>129.94242000000008</v>
      </c>
      <c r="AV852" s="58"/>
    </row>
    <row r="853" spans="1:48" ht="13.5" customHeight="1">
      <c r="A853" s="82">
        <v>851</v>
      </c>
      <c r="B853" s="85">
        <v>809</v>
      </c>
      <c r="C853" s="85" t="s">
        <v>39</v>
      </c>
      <c r="D853" s="175">
        <v>-25.279099999999744</v>
      </c>
      <c r="F853" s="45">
        <v>882</v>
      </c>
      <c r="G853" s="45">
        <v>795.17108250000001</v>
      </c>
      <c r="H853" s="56">
        <v>-25.279099999999744</v>
      </c>
      <c r="I853" s="56">
        <v>-25.279099999999744</v>
      </c>
      <c r="J853" s="148">
        <v>0</v>
      </c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  <c r="AA853" s="57"/>
      <c r="AB853" s="57"/>
      <c r="AC853" s="57"/>
      <c r="AD853" s="57"/>
      <c r="AE853" s="57"/>
      <c r="AF853" s="57"/>
      <c r="AG853" s="57"/>
      <c r="AH853" s="57"/>
      <c r="AI853" s="57"/>
      <c r="AJ853" s="57"/>
      <c r="AK853" s="57"/>
      <c r="AL853" s="57"/>
      <c r="AM853" s="57"/>
      <c r="AN853" s="57"/>
      <c r="AO853" s="57"/>
      <c r="AP853" s="57"/>
      <c r="AQ853" s="57"/>
      <c r="AR853" s="57"/>
      <c r="AS853" s="57"/>
      <c r="AT853" s="57"/>
      <c r="AU853" s="58">
        <f t="shared" si="13"/>
        <v>-25.279099999999744</v>
      </c>
      <c r="AV853" s="58"/>
    </row>
    <row r="854" spans="1:48" ht="13.5" customHeight="1">
      <c r="A854" s="84">
        <v>852</v>
      </c>
      <c r="B854" s="85">
        <v>810</v>
      </c>
      <c r="C854" s="85" t="s">
        <v>39</v>
      </c>
      <c r="D854" s="175">
        <v>255.47145750000016</v>
      </c>
      <c r="F854" s="45">
        <v>882</v>
      </c>
      <c r="G854" s="45">
        <v>656.29657125000006</v>
      </c>
      <c r="H854" s="56">
        <v>255.47145750000016</v>
      </c>
      <c r="I854" s="56">
        <v>255.47145750000016</v>
      </c>
      <c r="J854" s="148">
        <v>0</v>
      </c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  <c r="AA854" s="57"/>
      <c r="AB854" s="57"/>
      <c r="AC854" s="57"/>
      <c r="AD854" s="57"/>
      <c r="AE854" s="57"/>
      <c r="AF854" s="57"/>
      <c r="AG854" s="57"/>
      <c r="AH854" s="57"/>
      <c r="AI854" s="57"/>
      <c r="AJ854" s="57"/>
      <c r="AK854" s="57"/>
      <c r="AL854" s="57"/>
      <c r="AM854" s="57"/>
      <c r="AN854" s="57"/>
      <c r="AO854" s="57"/>
      <c r="AP854" s="57"/>
      <c r="AQ854" s="57"/>
      <c r="AR854" s="57"/>
      <c r="AS854" s="57"/>
      <c r="AT854" s="57"/>
      <c r="AU854" s="58">
        <f t="shared" si="13"/>
        <v>255.47145750000016</v>
      </c>
      <c r="AV854" s="58"/>
    </row>
    <row r="855" spans="1:48" ht="13.5" customHeight="1">
      <c r="A855" s="84">
        <v>853</v>
      </c>
      <c r="B855" s="85">
        <v>811</v>
      </c>
      <c r="C855" s="85" t="s">
        <v>39</v>
      </c>
      <c r="D855" s="175">
        <v>-264.51937999999996</v>
      </c>
      <c r="F855" s="45">
        <v>882</v>
      </c>
      <c r="G855" s="45">
        <v>509.38499999999999</v>
      </c>
      <c r="H855" s="56">
        <v>145.48062000000004</v>
      </c>
      <c r="I855" s="56">
        <v>145.48062000000004</v>
      </c>
      <c r="J855" s="148">
        <v>0</v>
      </c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  <c r="AA855" s="57"/>
      <c r="AB855" s="57"/>
      <c r="AC855" s="57"/>
      <c r="AD855" s="57"/>
      <c r="AE855" s="57"/>
      <c r="AF855" s="57"/>
      <c r="AG855" s="57"/>
      <c r="AH855" s="57">
        <v>410</v>
      </c>
      <c r="AI855" s="57"/>
      <c r="AJ855" s="57"/>
      <c r="AK855" s="57"/>
      <c r="AL855" s="57"/>
      <c r="AM855" s="57"/>
      <c r="AN855" s="57"/>
      <c r="AO855" s="57"/>
      <c r="AP855" s="57"/>
      <c r="AQ855" s="57"/>
      <c r="AR855" s="57"/>
      <c r="AS855" s="57"/>
      <c r="AT855" s="57"/>
      <c r="AU855" s="58">
        <f t="shared" si="13"/>
        <v>-264.51937999999996</v>
      </c>
      <c r="AV855" s="58"/>
    </row>
    <row r="856" spans="1:48" ht="13.5" customHeight="1">
      <c r="A856" s="82">
        <v>854</v>
      </c>
      <c r="B856" s="85">
        <v>812</v>
      </c>
      <c r="C856" s="85" t="s">
        <v>39</v>
      </c>
      <c r="D856" s="175">
        <v>-61.60069500000003</v>
      </c>
      <c r="F856" s="45">
        <v>882</v>
      </c>
      <c r="G856" s="45">
        <v>643.4867999999999</v>
      </c>
      <c r="H856" s="56">
        <v>138.39930499999997</v>
      </c>
      <c r="I856" s="56">
        <v>138.39930499999997</v>
      </c>
      <c r="J856" s="148">
        <v>0</v>
      </c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>
        <v>80</v>
      </c>
      <c r="W856" s="57"/>
      <c r="X856" s="57"/>
      <c r="Y856" s="57"/>
      <c r="Z856" s="57"/>
      <c r="AA856" s="57"/>
      <c r="AB856" s="57"/>
      <c r="AC856" s="57"/>
      <c r="AD856" s="57"/>
      <c r="AE856" s="57"/>
      <c r="AF856" s="57"/>
      <c r="AG856" s="57"/>
      <c r="AH856" s="57"/>
      <c r="AI856" s="57"/>
      <c r="AJ856" s="57"/>
      <c r="AK856" s="57"/>
      <c r="AL856" s="57"/>
      <c r="AM856" s="57"/>
      <c r="AN856" s="57"/>
      <c r="AO856" s="57"/>
      <c r="AP856" s="57"/>
      <c r="AQ856" s="57">
        <v>120</v>
      </c>
      <c r="AR856" s="57"/>
      <c r="AS856" s="57"/>
      <c r="AT856" s="57"/>
      <c r="AU856" s="58">
        <f t="shared" si="13"/>
        <v>-61.60069500000003</v>
      </c>
      <c r="AV856" s="58"/>
    </row>
    <row r="857" spans="1:48" ht="13.5" customHeight="1">
      <c r="A857" s="84">
        <v>855</v>
      </c>
      <c r="B857" s="85">
        <v>815</v>
      </c>
      <c r="C857" s="85" t="s">
        <v>39</v>
      </c>
      <c r="D857" s="175">
        <v>-278</v>
      </c>
      <c r="F857" s="45">
        <v>350</v>
      </c>
      <c r="G857" s="45">
        <v>398</v>
      </c>
      <c r="H857" s="56">
        <v>-43</v>
      </c>
      <c r="I857" s="56">
        <v>-43</v>
      </c>
      <c r="J857" s="148">
        <v>0</v>
      </c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>
        <v>35</v>
      </c>
      <c r="Z857" s="57"/>
      <c r="AA857" s="57"/>
      <c r="AB857" s="57"/>
      <c r="AC857" s="57"/>
      <c r="AD857" s="57"/>
      <c r="AE857" s="57"/>
      <c r="AF857" s="57"/>
      <c r="AG857" s="57">
        <v>100</v>
      </c>
      <c r="AH857" s="57">
        <v>100</v>
      </c>
      <c r="AI857" s="57"/>
      <c r="AJ857" s="57"/>
      <c r="AK857" s="57"/>
      <c r="AL857" s="57"/>
      <c r="AM857" s="57"/>
      <c r="AN857" s="57"/>
      <c r="AO857" s="57"/>
      <c r="AP857" s="57"/>
      <c r="AQ857" s="57"/>
      <c r="AR857" s="57"/>
      <c r="AS857" s="57"/>
      <c r="AT857" s="57"/>
      <c r="AU857" s="58">
        <f t="shared" si="13"/>
        <v>-278</v>
      </c>
      <c r="AV857" s="58"/>
    </row>
    <row r="858" spans="1:48" ht="13.5" customHeight="1">
      <c r="A858" s="82">
        <v>856</v>
      </c>
      <c r="B858" s="85">
        <v>819</v>
      </c>
      <c r="C858" s="85" t="s">
        <v>39</v>
      </c>
      <c r="D858" s="175">
        <v>-75.719719999999938</v>
      </c>
      <c r="F858" s="45">
        <v>882</v>
      </c>
      <c r="G858" s="45">
        <v>738.81270000000006</v>
      </c>
      <c r="H858" s="56">
        <v>-25.719719999999938</v>
      </c>
      <c r="I858" s="56">
        <v>-25.719719999999938</v>
      </c>
      <c r="J858" s="148">
        <v>0</v>
      </c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  <c r="AA858" s="57"/>
      <c r="AB858" s="57"/>
      <c r="AC858" s="57"/>
      <c r="AD858" s="57"/>
      <c r="AE858" s="57"/>
      <c r="AF858" s="57"/>
      <c r="AG858" s="57"/>
      <c r="AH858" s="57"/>
      <c r="AI858" s="57"/>
      <c r="AJ858" s="57">
        <v>50</v>
      </c>
      <c r="AK858" s="57"/>
      <c r="AL858" s="57"/>
      <c r="AM858" s="57"/>
      <c r="AN858" s="57"/>
      <c r="AO858" s="57"/>
      <c r="AP858" s="57"/>
      <c r="AQ858" s="57"/>
      <c r="AR858" s="57"/>
      <c r="AS858" s="57"/>
      <c r="AT858" s="57"/>
      <c r="AU858" s="58">
        <f t="shared" si="13"/>
        <v>-75.719719999999938</v>
      </c>
      <c r="AV858" s="58"/>
    </row>
    <row r="859" spans="1:48" ht="13.5" customHeight="1">
      <c r="A859" s="84">
        <v>857</v>
      </c>
      <c r="B859" s="85">
        <v>821</v>
      </c>
      <c r="C859" s="85" t="s">
        <v>39</v>
      </c>
      <c r="D859" s="175">
        <v>60.965400000000045</v>
      </c>
      <c r="F859" s="45">
        <v>882</v>
      </c>
      <c r="G859" s="45">
        <v>746.57971999999995</v>
      </c>
      <c r="H859" s="56">
        <v>90.965400000000045</v>
      </c>
      <c r="I859" s="56">
        <v>90.965400000000045</v>
      </c>
      <c r="J859" s="148">
        <v>0</v>
      </c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>
        <v>30</v>
      </c>
      <c r="X859" s="57"/>
      <c r="Y859" s="57"/>
      <c r="Z859" s="57"/>
      <c r="AA859" s="57"/>
      <c r="AB859" s="57"/>
      <c r="AC859" s="57"/>
      <c r="AD859" s="57"/>
      <c r="AE859" s="57"/>
      <c r="AF859" s="57"/>
      <c r="AG859" s="57"/>
      <c r="AH859" s="57"/>
      <c r="AI859" s="57"/>
      <c r="AJ859" s="57"/>
      <c r="AK859" s="57"/>
      <c r="AL859" s="57"/>
      <c r="AM859" s="57"/>
      <c r="AN859" s="57"/>
      <c r="AO859" s="57"/>
      <c r="AP859" s="57"/>
      <c r="AQ859" s="57"/>
      <c r="AR859" s="57"/>
      <c r="AS859" s="57"/>
      <c r="AT859" s="57"/>
      <c r="AU859" s="58">
        <f t="shared" si="13"/>
        <v>60.965400000000045</v>
      </c>
      <c r="AV859" s="58"/>
    </row>
    <row r="860" spans="1:48" ht="13.5" customHeight="1">
      <c r="A860" s="84">
        <v>858</v>
      </c>
      <c r="B860" s="85">
        <v>822</v>
      </c>
      <c r="C860" s="85" t="s">
        <v>39</v>
      </c>
      <c r="D860" s="175">
        <v>-11.815982500000018</v>
      </c>
      <c r="F860" s="45">
        <v>560</v>
      </c>
      <c r="G860" s="45">
        <v>541.31400000000008</v>
      </c>
      <c r="H860" s="56">
        <v>138.18401749999998</v>
      </c>
      <c r="I860" s="56">
        <v>168.18401749999998</v>
      </c>
      <c r="J860" s="148">
        <v>30</v>
      </c>
      <c r="K860" s="57">
        <v>50</v>
      </c>
      <c r="L860" s="57"/>
      <c r="M860" s="57"/>
      <c r="N860" s="57"/>
      <c r="O860" s="57"/>
      <c r="P860" s="57"/>
      <c r="Q860" s="57"/>
      <c r="R860" s="57"/>
      <c r="S860" s="57"/>
      <c r="T860" s="57">
        <v>100</v>
      </c>
      <c r="U860" s="57"/>
      <c r="V860" s="57"/>
      <c r="W860" s="57"/>
      <c r="X860" s="57"/>
      <c r="Y860" s="57"/>
      <c r="Z860" s="57"/>
      <c r="AA860" s="57"/>
      <c r="AB860" s="57"/>
      <c r="AC860" s="57"/>
      <c r="AD860" s="57"/>
      <c r="AE860" s="57"/>
      <c r="AF860" s="57"/>
      <c r="AG860" s="57"/>
      <c r="AH860" s="57"/>
      <c r="AI860" s="57"/>
      <c r="AJ860" s="57"/>
      <c r="AK860" s="57"/>
      <c r="AL860" s="57"/>
      <c r="AM860" s="57"/>
      <c r="AN860" s="57"/>
      <c r="AO860" s="57"/>
      <c r="AP860" s="57"/>
      <c r="AQ860" s="57"/>
      <c r="AR860" s="57"/>
      <c r="AS860" s="57"/>
      <c r="AT860" s="57"/>
      <c r="AU860" s="58">
        <f t="shared" si="13"/>
        <v>-11.815982500000018</v>
      </c>
      <c r="AV860" s="58"/>
    </row>
    <row r="861" spans="1:48" ht="13.5" customHeight="1">
      <c r="A861" s="82">
        <v>859</v>
      </c>
      <c r="B861" s="85">
        <v>824</v>
      </c>
      <c r="C861" s="85" t="s">
        <v>39</v>
      </c>
      <c r="D861" s="175">
        <v>-45.321000000000026</v>
      </c>
      <c r="F861" s="45">
        <v>560</v>
      </c>
      <c r="G861" s="45">
        <v>583.05137999999999</v>
      </c>
      <c r="H861" s="56">
        <v>-45.321000000000026</v>
      </c>
      <c r="I861" s="56">
        <v>-45.321000000000026</v>
      </c>
      <c r="J861" s="148">
        <v>0</v>
      </c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  <c r="AA861" s="57"/>
      <c r="AB861" s="57"/>
      <c r="AC861" s="57"/>
      <c r="AD861" s="57"/>
      <c r="AE861" s="57"/>
      <c r="AF861" s="57"/>
      <c r="AG861" s="57"/>
      <c r="AH861" s="57"/>
      <c r="AI861" s="57"/>
      <c r="AJ861" s="57"/>
      <c r="AK861" s="57"/>
      <c r="AL861" s="57"/>
      <c r="AM861" s="57"/>
      <c r="AN861" s="57"/>
      <c r="AO861" s="57"/>
      <c r="AP861" s="57"/>
      <c r="AQ861" s="57"/>
      <c r="AR861" s="57"/>
      <c r="AS861" s="57"/>
      <c r="AT861" s="57"/>
      <c r="AU861" s="58">
        <f t="shared" si="13"/>
        <v>-45.321000000000026</v>
      </c>
      <c r="AV861" s="58"/>
    </row>
    <row r="862" spans="1:48" ht="13.5" customHeight="1">
      <c r="A862" s="84">
        <v>860</v>
      </c>
      <c r="B862" s="85">
        <v>825</v>
      </c>
      <c r="C862" s="85" t="s">
        <v>39</v>
      </c>
      <c r="D862" s="175">
        <v>-41.029999999999973</v>
      </c>
      <c r="F862" s="45">
        <v>400</v>
      </c>
      <c r="G862" s="45">
        <v>196.62</v>
      </c>
      <c r="H862" s="56">
        <v>-41.029999999999973</v>
      </c>
      <c r="I862" s="56">
        <v>-41.029999999999973</v>
      </c>
      <c r="J862" s="148">
        <v>0</v>
      </c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  <c r="AA862" s="57"/>
      <c r="AB862" s="57"/>
      <c r="AC862" s="57"/>
      <c r="AD862" s="57"/>
      <c r="AE862" s="57"/>
      <c r="AF862" s="57"/>
      <c r="AG862" s="57"/>
      <c r="AH862" s="57"/>
      <c r="AI862" s="57"/>
      <c r="AJ862" s="57"/>
      <c r="AK862" s="57"/>
      <c r="AL862" s="57"/>
      <c r="AM862" s="57"/>
      <c r="AN862" s="57"/>
      <c r="AO862" s="57"/>
      <c r="AP862" s="57"/>
      <c r="AQ862" s="57"/>
      <c r="AR862" s="57"/>
      <c r="AS862" s="57"/>
      <c r="AT862" s="57"/>
      <c r="AU862" s="58">
        <f t="shared" si="13"/>
        <v>-41.029999999999973</v>
      </c>
      <c r="AV862" s="58"/>
    </row>
    <row r="863" spans="1:48" ht="13.5" customHeight="1">
      <c r="A863" s="82">
        <v>861</v>
      </c>
      <c r="B863" s="85">
        <v>827</v>
      </c>
      <c r="C863" s="85" t="s">
        <v>39</v>
      </c>
      <c r="D863" s="175">
        <v>250</v>
      </c>
      <c r="F863" s="45">
        <v>350</v>
      </c>
      <c r="G863" s="45">
        <v>389.93599999999998</v>
      </c>
      <c r="H863" s="56">
        <v>250</v>
      </c>
      <c r="I863" s="56">
        <v>250</v>
      </c>
      <c r="J863" s="148">
        <v>0</v>
      </c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  <c r="AA863" s="57"/>
      <c r="AB863" s="57"/>
      <c r="AC863" s="57"/>
      <c r="AD863" s="57"/>
      <c r="AE863" s="57"/>
      <c r="AF863" s="57"/>
      <c r="AG863" s="57"/>
      <c r="AH863" s="57"/>
      <c r="AI863" s="57"/>
      <c r="AJ863" s="57"/>
      <c r="AK863" s="57"/>
      <c r="AL863" s="57"/>
      <c r="AM863" s="57"/>
      <c r="AN863" s="57"/>
      <c r="AO863" s="57"/>
      <c r="AP863" s="57"/>
      <c r="AQ863" s="57"/>
      <c r="AR863" s="57"/>
      <c r="AS863" s="57"/>
      <c r="AT863" s="57"/>
      <c r="AU863" s="58">
        <f t="shared" si="13"/>
        <v>250</v>
      </c>
      <c r="AV863" s="58"/>
    </row>
    <row r="864" spans="1:48" ht="13.5" customHeight="1">
      <c r="A864" s="84">
        <v>862</v>
      </c>
      <c r="B864" s="85">
        <v>830</v>
      </c>
      <c r="C864" s="85" t="s">
        <v>39</v>
      </c>
      <c r="D864" s="175">
        <v>113.78086000000002</v>
      </c>
      <c r="F864" s="45">
        <v>560</v>
      </c>
      <c r="G864" s="45">
        <v>249.25369500000002</v>
      </c>
      <c r="H864" s="56">
        <v>163.78086000000002</v>
      </c>
      <c r="I864" s="56">
        <v>163.78086000000002</v>
      </c>
      <c r="J864" s="148">
        <v>0</v>
      </c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>
        <v>50</v>
      </c>
      <c r="W864" s="57"/>
      <c r="X864" s="57"/>
      <c r="Y864" s="57"/>
      <c r="Z864" s="57"/>
      <c r="AA864" s="57"/>
      <c r="AB864" s="57"/>
      <c r="AC864" s="57"/>
      <c r="AD864" s="57"/>
      <c r="AE864" s="57"/>
      <c r="AF864" s="57"/>
      <c r="AG864" s="57"/>
      <c r="AH864" s="57"/>
      <c r="AI864" s="57"/>
      <c r="AJ864" s="57"/>
      <c r="AK864" s="57"/>
      <c r="AL864" s="57"/>
      <c r="AM864" s="57"/>
      <c r="AN864" s="57"/>
      <c r="AO864" s="57"/>
      <c r="AP864" s="57"/>
      <c r="AQ864" s="57"/>
      <c r="AR864" s="57"/>
      <c r="AS864" s="57"/>
      <c r="AT864" s="57"/>
      <c r="AU864" s="58">
        <f t="shared" si="13"/>
        <v>113.78086000000002</v>
      </c>
      <c r="AV864" s="58"/>
    </row>
    <row r="865" spans="1:48" ht="13.5" customHeight="1">
      <c r="A865" s="84">
        <v>863</v>
      </c>
      <c r="B865" s="85">
        <v>831</v>
      </c>
      <c r="C865" s="85" t="s">
        <v>39</v>
      </c>
      <c r="D865" s="175">
        <v>70.42</v>
      </c>
      <c r="F865" s="45">
        <v>560</v>
      </c>
      <c r="G865" s="45">
        <v>525.43475999999998</v>
      </c>
      <c r="H865" s="56">
        <v>70.42</v>
      </c>
      <c r="I865" s="56">
        <v>70.42</v>
      </c>
      <c r="J865" s="148">
        <v>0</v>
      </c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  <c r="AA865" s="57"/>
      <c r="AB865" s="57"/>
      <c r="AC865" s="57"/>
      <c r="AD865" s="57"/>
      <c r="AE865" s="57"/>
      <c r="AF865" s="57"/>
      <c r="AG865" s="57"/>
      <c r="AH865" s="57"/>
      <c r="AI865" s="57"/>
      <c r="AJ865" s="57"/>
      <c r="AK865" s="57"/>
      <c r="AL865" s="57"/>
      <c r="AM865" s="57"/>
      <c r="AN865" s="57"/>
      <c r="AO865" s="57"/>
      <c r="AP865" s="57"/>
      <c r="AQ865" s="57"/>
      <c r="AR865" s="57"/>
      <c r="AS865" s="57"/>
      <c r="AT865" s="57"/>
      <c r="AU865" s="58">
        <f t="shared" si="13"/>
        <v>70.42</v>
      </c>
      <c r="AV865" s="58"/>
    </row>
    <row r="866" spans="1:48" ht="13.5" customHeight="1">
      <c r="A866" s="82">
        <v>864</v>
      </c>
      <c r="B866" s="85">
        <v>835</v>
      </c>
      <c r="C866" s="85" t="s">
        <v>39</v>
      </c>
      <c r="D866" s="175">
        <v>57.65864000000002</v>
      </c>
      <c r="F866" s="45">
        <v>400</v>
      </c>
      <c r="G866" s="45">
        <v>343.2063</v>
      </c>
      <c r="H866" s="56">
        <v>127.65864000000002</v>
      </c>
      <c r="I866" s="56">
        <v>127.65864000000002</v>
      </c>
      <c r="J866" s="148">
        <v>0</v>
      </c>
      <c r="K866" s="57"/>
      <c r="L866" s="57"/>
      <c r="M866" s="57"/>
      <c r="N866" s="57">
        <v>30</v>
      </c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  <c r="AA866" s="57"/>
      <c r="AB866" s="57"/>
      <c r="AC866" s="57"/>
      <c r="AD866" s="57"/>
      <c r="AE866" s="57"/>
      <c r="AF866" s="57"/>
      <c r="AG866" s="57"/>
      <c r="AH866" s="57"/>
      <c r="AI866" s="57"/>
      <c r="AJ866" s="57"/>
      <c r="AK866" s="57">
        <v>40</v>
      </c>
      <c r="AL866" s="57"/>
      <c r="AM866" s="57"/>
      <c r="AN866" s="57"/>
      <c r="AO866" s="57"/>
      <c r="AP866" s="57"/>
      <c r="AQ866" s="57"/>
      <c r="AR866" s="57"/>
      <c r="AS866" s="57"/>
      <c r="AT866" s="57"/>
      <c r="AU866" s="58">
        <f t="shared" si="13"/>
        <v>57.65864000000002</v>
      </c>
      <c r="AV866" s="58"/>
    </row>
    <row r="867" spans="1:48" ht="13.5" customHeight="1">
      <c r="A867" s="84">
        <v>865</v>
      </c>
      <c r="B867" s="85">
        <v>836</v>
      </c>
      <c r="C867" s="85" t="s">
        <v>39</v>
      </c>
      <c r="D867" s="175">
        <v>9.6211562499999843</v>
      </c>
      <c r="F867" s="45">
        <v>441</v>
      </c>
      <c r="G867" s="45">
        <v>419.71366499999999</v>
      </c>
      <c r="H867" s="56">
        <v>219.62115624999998</v>
      </c>
      <c r="I867" s="56">
        <v>219.62115624999998</v>
      </c>
      <c r="J867" s="148">
        <v>0</v>
      </c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  <c r="AA867" s="57"/>
      <c r="AB867" s="57"/>
      <c r="AC867" s="57"/>
      <c r="AD867" s="57"/>
      <c r="AE867" s="57"/>
      <c r="AF867" s="57"/>
      <c r="AG867" s="57"/>
      <c r="AH867" s="57">
        <v>120</v>
      </c>
      <c r="AI867" s="57"/>
      <c r="AJ867" s="57"/>
      <c r="AK867" s="57"/>
      <c r="AL867" s="57"/>
      <c r="AM867" s="57"/>
      <c r="AN867" s="57"/>
      <c r="AO867" s="57">
        <v>90</v>
      </c>
      <c r="AP867" s="57"/>
      <c r="AQ867" s="57"/>
      <c r="AR867" s="57"/>
      <c r="AS867" s="57"/>
      <c r="AT867" s="57"/>
      <c r="AU867" s="58">
        <f t="shared" si="13"/>
        <v>9.6211562499999843</v>
      </c>
      <c r="AV867" s="58"/>
    </row>
    <row r="868" spans="1:48" ht="13.5" customHeight="1">
      <c r="A868" s="82">
        <v>866</v>
      </c>
      <c r="B868" s="85">
        <v>837</v>
      </c>
      <c r="C868" s="85" t="s">
        <v>39</v>
      </c>
      <c r="D868" s="175">
        <v>92.27687499999999</v>
      </c>
      <c r="F868" s="45">
        <v>560</v>
      </c>
      <c r="G868" s="45">
        <v>355.83870000000002</v>
      </c>
      <c r="H868" s="56">
        <v>112.27687499999999</v>
      </c>
      <c r="I868" s="56">
        <v>112.27687499999999</v>
      </c>
      <c r="J868" s="148">
        <v>0</v>
      </c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  <c r="AA868" s="57"/>
      <c r="AB868" s="57"/>
      <c r="AC868" s="57"/>
      <c r="AD868" s="57"/>
      <c r="AE868" s="57"/>
      <c r="AF868" s="57"/>
      <c r="AG868" s="57"/>
      <c r="AH868" s="57"/>
      <c r="AI868" s="57"/>
      <c r="AJ868" s="57"/>
      <c r="AK868" s="57"/>
      <c r="AL868" s="57"/>
      <c r="AM868" s="57"/>
      <c r="AN868" s="57"/>
      <c r="AO868" s="57"/>
      <c r="AP868" s="57"/>
      <c r="AQ868" s="57"/>
      <c r="AR868" s="57"/>
      <c r="AS868" s="57"/>
      <c r="AT868" s="57">
        <v>20</v>
      </c>
      <c r="AU868" s="58">
        <f t="shared" si="13"/>
        <v>92.27687499999999</v>
      </c>
      <c r="AV868" s="58"/>
    </row>
    <row r="869" spans="1:48" ht="13.5" customHeight="1">
      <c r="A869" s="84">
        <v>867</v>
      </c>
      <c r="B869" s="85">
        <v>840</v>
      </c>
      <c r="C869" s="85" t="s">
        <v>39</v>
      </c>
      <c r="D869" s="175">
        <v>-321.62400000000002</v>
      </c>
      <c r="F869" s="45">
        <v>882</v>
      </c>
      <c r="G869" s="45">
        <v>878.13560000000007</v>
      </c>
      <c r="H869" s="56">
        <v>-106.62400000000002</v>
      </c>
      <c r="I869" s="56">
        <v>-106.62400000000002</v>
      </c>
      <c r="J869" s="148">
        <v>0</v>
      </c>
      <c r="K869" s="57"/>
      <c r="L869" s="57"/>
      <c r="M869" s="57"/>
      <c r="N869" s="57"/>
      <c r="O869" s="57"/>
      <c r="P869" s="57"/>
      <c r="Q869" s="57">
        <v>35</v>
      </c>
      <c r="R869" s="57"/>
      <c r="S869" s="57"/>
      <c r="T869" s="57"/>
      <c r="U869" s="57"/>
      <c r="V869" s="57"/>
      <c r="W869" s="57"/>
      <c r="X869" s="57"/>
      <c r="Y869" s="57"/>
      <c r="Z869" s="57">
        <v>35</v>
      </c>
      <c r="AA869" s="57"/>
      <c r="AB869" s="57"/>
      <c r="AC869" s="57"/>
      <c r="AD869" s="57"/>
      <c r="AE869" s="57"/>
      <c r="AF869" s="57"/>
      <c r="AG869" s="57"/>
      <c r="AH869" s="57"/>
      <c r="AI869" s="57"/>
      <c r="AJ869" s="57">
        <v>145</v>
      </c>
      <c r="AK869" s="57"/>
      <c r="AL869" s="57"/>
      <c r="AM869" s="57"/>
      <c r="AN869" s="57"/>
      <c r="AO869" s="57"/>
      <c r="AP869" s="57"/>
      <c r="AQ869" s="57"/>
      <c r="AR869" s="57"/>
      <c r="AS869" s="57"/>
      <c r="AT869" s="57"/>
      <c r="AU869" s="58">
        <f t="shared" si="13"/>
        <v>-321.62400000000002</v>
      </c>
      <c r="AV869" s="58"/>
    </row>
    <row r="870" spans="1:48" ht="13.5" customHeight="1">
      <c r="A870" s="84">
        <v>868</v>
      </c>
      <c r="B870" s="85">
        <v>845</v>
      </c>
      <c r="C870" s="85" t="s">
        <v>39</v>
      </c>
      <c r="D870" s="175">
        <v>50.68649999999991</v>
      </c>
      <c r="F870" s="45">
        <v>882</v>
      </c>
      <c r="G870" s="45">
        <v>879.54390000000001</v>
      </c>
      <c r="H870" s="56">
        <v>80.68649999999991</v>
      </c>
      <c r="I870" s="56">
        <v>80.68649999999991</v>
      </c>
      <c r="J870" s="148">
        <v>0</v>
      </c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7"/>
      <c r="AC870" s="57"/>
      <c r="AD870" s="57"/>
      <c r="AE870" s="57"/>
      <c r="AF870" s="57"/>
      <c r="AG870" s="57"/>
      <c r="AH870" s="57"/>
      <c r="AI870" s="57"/>
      <c r="AJ870" s="57">
        <v>30</v>
      </c>
      <c r="AK870" s="57"/>
      <c r="AL870" s="57"/>
      <c r="AM870" s="57"/>
      <c r="AN870" s="57"/>
      <c r="AO870" s="57"/>
      <c r="AP870" s="57"/>
      <c r="AQ870" s="57"/>
      <c r="AR870" s="57"/>
      <c r="AS870" s="57"/>
      <c r="AT870" s="57"/>
      <c r="AU870" s="58">
        <f t="shared" si="13"/>
        <v>50.68649999999991</v>
      </c>
      <c r="AV870" s="58"/>
    </row>
    <row r="871" spans="1:48" ht="13.5" customHeight="1">
      <c r="A871" s="82">
        <v>869</v>
      </c>
      <c r="B871" s="85">
        <v>846</v>
      </c>
      <c r="C871" s="85" t="s">
        <v>39</v>
      </c>
      <c r="D871" s="175">
        <v>-81.575600000000122</v>
      </c>
      <c r="F871" s="45">
        <v>1400</v>
      </c>
      <c r="G871" s="45">
        <v>1409.909128</v>
      </c>
      <c r="H871" s="56">
        <v>-81.575600000000122</v>
      </c>
      <c r="I871" s="56">
        <v>-81.575600000000122</v>
      </c>
      <c r="J871" s="148">
        <v>0</v>
      </c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7"/>
      <c r="AC871" s="57"/>
      <c r="AD871" s="57"/>
      <c r="AE871" s="57"/>
      <c r="AF871" s="57"/>
      <c r="AG871" s="57"/>
      <c r="AH871" s="57"/>
      <c r="AI871" s="57"/>
      <c r="AJ871" s="57"/>
      <c r="AK871" s="57"/>
      <c r="AL871" s="57"/>
      <c r="AM871" s="57"/>
      <c r="AN871" s="57"/>
      <c r="AO871" s="57"/>
      <c r="AP871" s="57"/>
      <c r="AQ871" s="57"/>
      <c r="AR871" s="57"/>
      <c r="AS871" s="57"/>
      <c r="AT871" s="57"/>
      <c r="AU871" s="58">
        <f t="shared" si="13"/>
        <v>-81.575600000000122</v>
      </c>
      <c r="AV871" s="58"/>
    </row>
    <row r="872" spans="1:48" ht="13.5" customHeight="1">
      <c r="A872" s="84">
        <v>870</v>
      </c>
      <c r="B872" s="85">
        <v>850</v>
      </c>
      <c r="C872" s="85" t="s">
        <v>39</v>
      </c>
      <c r="D872" s="116">
        <v>172.91781499999999</v>
      </c>
      <c r="E872" s="85" t="s">
        <v>142</v>
      </c>
      <c r="F872" s="85" t="s">
        <v>143</v>
      </c>
      <c r="G872" s="85" t="s">
        <v>144</v>
      </c>
      <c r="H872" s="85" t="s">
        <v>145</v>
      </c>
      <c r="I872" s="56">
        <v>172.91781500000002</v>
      </c>
      <c r="J872" s="148">
        <v>0</v>
      </c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  <c r="AA872" s="57"/>
      <c r="AB872" s="57"/>
      <c r="AC872" s="57"/>
      <c r="AD872" s="57"/>
      <c r="AE872" s="57"/>
      <c r="AF872" s="57"/>
      <c r="AG872" s="57"/>
      <c r="AH872" s="57"/>
      <c r="AI872" s="57"/>
      <c r="AJ872" s="57"/>
      <c r="AK872" s="57"/>
      <c r="AL872" s="57"/>
      <c r="AM872" s="57"/>
      <c r="AN872" s="57"/>
      <c r="AO872" s="57"/>
      <c r="AP872" s="57"/>
      <c r="AQ872" s="57"/>
      <c r="AR872" s="57"/>
      <c r="AS872" s="57"/>
      <c r="AT872" s="57"/>
      <c r="AU872" s="58">
        <f t="shared" si="13"/>
        <v>172.91781500000002</v>
      </c>
      <c r="AV872" s="58"/>
    </row>
    <row r="873" spans="1:48" ht="13.5" customHeight="1">
      <c r="A873" s="82">
        <v>871</v>
      </c>
      <c r="B873" s="85">
        <v>852</v>
      </c>
      <c r="C873" s="85" t="s">
        <v>39</v>
      </c>
      <c r="D873" s="175">
        <v>-80</v>
      </c>
      <c r="H873" s="56"/>
      <c r="I873" s="56">
        <v>504</v>
      </c>
      <c r="J873" s="148">
        <v>534</v>
      </c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  <c r="AA873" s="57"/>
      <c r="AB873" s="57"/>
      <c r="AC873" s="57"/>
      <c r="AD873" s="57"/>
      <c r="AE873" s="57"/>
      <c r="AF873" s="57"/>
      <c r="AG873" s="57"/>
      <c r="AH873" s="57"/>
      <c r="AI873" s="57"/>
      <c r="AJ873" s="57"/>
      <c r="AK873" s="57"/>
      <c r="AL873" s="57"/>
      <c r="AM873" s="57"/>
      <c r="AN873" s="57"/>
      <c r="AO873" s="57">
        <v>50</v>
      </c>
      <c r="AP873" s="57"/>
      <c r="AQ873" s="57"/>
      <c r="AR873" s="57"/>
      <c r="AS873" s="57"/>
      <c r="AT873" s="57"/>
      <c r="AU873" s="58">
        <f t="shared" si="13"/>
        <v>-80</v>
      </c>
      <c r="AV873" s="58"/>
    </row>
    <row r="874" spans="1:48" ht="13.5" customHeight="1">
      <c r="A874" s="84">
        <v>872</v>
      </c>
      <c r="B874" s="85">
        <v>853</v>
      </c>
      <c r="C874" s="85" t="s">
        <v>39</v>
      </c>
      <c r="D874" s="175">
        <v>-101.78200000000004</v>
      </c>
      <c r="F874" s="45">
        <v>560</v>
      </c>
      <c r="G874" s="45">
        <v>440.21999999999997</v>
      </c>
      <c r="H874" s="56">
        <v>-101.78200000000004</v>
      </c>
      <c r="I874" s="56">
        <v>-101.78200000000004</v>
      </c>
      <c r="J874" s="148">
        <v>0</v>
      </c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7"/>
      <c r="AC874" s="57"/>
      <c r="AD874" s="57"/>
      <c r="AE874" s="57"/>
      <c r="AF874" s="57"/>
      <c r="AG874" s="57"/>
      <c r="AH874" s="57"/>
      <c r="AI874" s="57"/>
      <c r="AJ874" s="57"/>
      <c r="AK874" s="57"/>
      <c r="AL874" s="57"/>
      <c r="AM874" s="57"/>
      <c r="AN874" s="57"/>
      <c r="AO874" s="57"/>
      <c r="AP874" s="57"/>
      <c r="AQ874" s="57"/>
      <c r="AR874" s="57"/>
      <c r="AS874" s="57"/>
      <c r="AT874" s="57"/>
      <c r="AU874" s="58">
        <f t="shared" si="13"/>
        <v>-101.78200000000004</v>
      </c>
      <c r="AV874" s="58"/>
    </row>
    <row r="875" spans="1:48" ht="13.5" customHeight="1">
      <c r="A875" s="84">
        <v>873</v>
      </c>
      <c r="B875" s="85">
        <v>854</v>
      </c>
      <c r="C875" s="85" t="s">
        <v>39</v>
      </c>
      <c r="D875" s="175">
        <v>-32</v>
      </c>
      <c r="F875" s="45">
        <v>882</v>
      </c>
      <c r="G875" s="45">
        <v>950.71190000000013</v>
      </c>
      <c r="H875" s="56">
        <v>-32</v>
      </c>
      <c r="I875" s="56">
        <v>-32</v>
      </c>
      <c r="J875" s="148">
        <v>0</v>
      </c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  <c r="AA875" s="57"/>
      <c r="AB875" s="57"/>
      <c r="AC875" s="57"/>
      <c r="AD875" s="57"/>
      <c r="AE875" s="57"/>
      <c r="AF875" s="57"/>
      <c r="AG875" s="57"/>
      <c r="AH875" s="57"/>
      <c r="AI875" s="57"/>
      <c r="AJ875" s="57"/>
      <c r="AK875" s="57"/>
      <c r="AL875" s="57"/>
      <c r="AM875" s="57"/>
      <c r="AN875" s="57"/>
      <c r="AO875" s="57"/>
      <c r="AP875" s="57"/>
      <c r="AQ875" s="57"/>
      <c r="AR875" s="57"/>
      <c r="AS875" s="57"/>
      <c r="AT875" s="57"/>
      <c r="AU875" s="58">
        <f t="shared" si="13"/>
        <v>-32</v>
      </c>
      <c r="AV875" s="58"/>
    </row>
    <row r="876" spans="1:48" ht="13.5" customHeight="1">
      <c r="A876" s="82">
        <v>874</v>
      </c>
      <c r="B876" s="85">
        <v>855</v>
      </c>
      <c r="C876" s="85" t="s">
        <v>39</v>
      </c>
      <c r="D876" s="175">
        <v>-26.263599999999883</v>
      </c>
      <c r="F876" s="45">
        <v>882</v>
      </c>
      <c r="G876" s="45">
        <v>903.64463999999998</v>
      </c>
      <c r="H876" s="56">
        <v>10.736400000000117</v>
      </c>
      <c r="I876" s="56">
        <v>10.736400000000117</v>
      </c>
      <c r="J876" s="148">
        <v>0</v>
      </c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>
        <v>37</v>
      </c>
      <c r="V876" s="57"/>
      <c r="W876" s="57"/>
      <c r="X876" s="57"/>
      <c r="Y876" s="57"/>
      <c r="Z876" s="57"/>
      <c r="AA876" s="57"/>
      <c r="AB876" s="57"/>
      <c r="AC876" s="57"/>
      <c r="AD876" s="57"/>
      <c r="AE876" s="57"/>
      <c r="AF876" s="57"/>
      <c r="AG876" s="57"/>
      <c r="AH876" s="57"/>
      <c r="AI876" s="57"/>
      <c r="AJ876" s="57"/>
      <c r="AK876" s="57"/>
      <c r="AL876" s="57"/>
      <c r="AM876" s="57"/>
      <c r="AN876" s="57"/>
      <c r="AO876" s="57"/>
      <c r="AP876" s="57"/>
      <c r="AQ876" s="57"/>
      <c r="AR876" s="57"/>
      <c r="AS876" s="57"/>
      <c r="AT876" s="57"/>
      <c r="AU876" s="58">
        <f t="shared" si="13"/>
        <v>-26.263599999999883</v>
      </c>
      <c r="AV876" s="58"/>
    </row>
    <row r="877" spans="1:48" ht="13.5" customHeight="1">
      <c r="A877" s="84">
        <v>875</v>
      </c>
      <c r="B877" s="85">
        <v>856</v>
      </c>
      <c r="C877" s="85" t="s">
        <v>39</v>
      </c>
      <c r="D877" s="175">
        <v>-160.46536499999991</v>
      </c>
      <c r="F877" s="45">
        <v>400</v>
      </c>
      <c r="G877" s="45">
        <v>294.75600000000003</v>
      </c>
      <c r="H877" s="56">
        <v>19.534635000000094</v>
      </c>
      <c r="I877" s="56">
        <v>19.534635000000094</v>
      </c>
      <c r="J877" s="148">
        <v>0</v>
      </c>
      <c r="K877" s="57">
        <v>30</v>
      </c>
      <c r="L877" s="57"/>
      <c r="M877" s="57"/>
      <c r="N877" s="57"/>
      <c r="O877" s="57"/>
      <c r="P877" s="57"/>
      <c r="Q877" s="57"/>
      <c r="R877" s="57"/>
      <c r="S877" s="57"/>
      <c r="T877" s="57">
        <v>150</v>
      </c>
      <c r="U877" s="57"/>
      <c r="V877" s="57"/>
      <c r="W877" s="57"/>
      <c r="X877" s="57"/>
      <c r="Y877" s="57"/>
      <c r="Z877" s="57"/>
      <c r="AA877" s="57"/>
      <c r="AB877" s="57"/>
      <c r="AC877" s="57"/>
      <c r="AD877" s="57"/>
      <c r="AE877" s="57"/>
      <c r="AF877" s="57"/>
      <c r="AG877" s="57"/>
      <c r="AH877" s="57"/>
      <c r="AI877" s="57"/>
      <c r="AJ877" s="57"/>
      <c r="AK877" s="57"/>
      <c r="AL877" s="57"/>
      <c r="AM877" s="57"/>
      <c r="AN877" s="57"/>
      <c r="AO877" s="57"/>
      <c r="AP877" s="57"/>
      <c r="AQ877" s="57"/>
      <c r="AR877" s="57"/>
      <c r="AS877" s="57"/>
      <c r="AT877" s="57"/>
      <c r="AU877" s="58">
        <f t="shared" si="13"/>
        <v>-160.46536499999991</v>
      </c>
      <c r="AV877" s="58"/>
    </row>
    <row r="878" spans="1:48" ht="13.5" customHeight="1">
      <c r="A878" s="82">
        <v>876</v>
      </c>
      <c r="B878" s="85">
        <v>860</v>
      </c>
      <c r="C878" s="85" t="s">
        <v>39</v>
      </c>
      <c r="D878" s="175">
        <v>-134.63199999999995</v>
      </c>
      <c r="F878" s="45">
        <v>224</v>
      </c>
      <c r="G878" s="45">
        <v>85.26</v>
      </c>
      <c r="H878" s="56">
        <v>-34.631999999999948</v>
      </c>
      <c r="I878" s="56">
        <v>-34.631999999999948</v>
      </c>
      <c r="J878" s="148">
        <v>0</v>
      </c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  <c r="AA878" s="57"/>
      <c r="AB878" s="57"/>
      <c r="AC878" s="57"/>
      <c r="AD878" s="57">
        <v>100</v>
      </c>
      <c r="AE878" s="57"/>
      <c r="AF878" s="57"/>
      <c r="AG878" s="57"/>
      <c r="AH878" s="57"/>
      <c r="AI878" s="57"/>
      <c r="AJ878" s="57"/>
      <c r="AK878" s="57"/>
      <c r="AL878" s="57"/>
      <c r="AM878" s="57"/>
      <c r="AN878" s="57"/>
      <c r="AO878" s="57"/>
      <c r="AP878" s="57"/>
      <c r="AQ878" s="57"/>
      <c r="AR878" s="57"/>
      <c r="AS878" s="57"/>
      <c r="AT878" s="57"/>
      <c r="AU878" s="58">
        <f t="shared" si="13"/>
        <v>-134.63199999999995</v>
      </c>
      <c r="AV878" s="58"/>
    </row>
    <row r="879" spans="1:48" ht="13.5" customHeight="1">
      <c r="A879" s="84">
        <v>877</v>
      </c>
      <c r="B879" s="85">
        <v>865</v>
      </c>
      <c r="C879" s="85" t="s">
        <v>39</v>
      </c>
      <c r="D879" s="175">
        <v>-156</v>
      </c>
      <c r="F879" s="45">
        <v>560</v>
      </c>
      <c r="G879" s="45">
        <v>624.35955999999987</v>
      </c>
      <c r="H879" s="56">
        <v>-156</v>
      </c>
      <c r="I879" s="56">
        <v>-156</v>
      </c>
      <c r="J879" s="148">
        <v>0</v>
      </c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  <c r="AA879" s="57"/>
      <c r="AB879" s="57"/>
      <c r="AC879" s="57"/>
      <c r="AD879" s="57"/>
      <c r="AE879" s="57"/>
      <c r="AF879" s="57"/>
      <c r="AG879" s="57"/>
      <c r="AH879" s="57"/>
      <c r="AI879" s="57"/>
      <c r="AJ879" s="57"/>
      <c r="AK879" s="57"/>
      <c r="AL879" s="57"/>
      <c r="AM879" s="57"/>
      <c r="AN879" s="57"/>
      <c r="AO879" s="57"/>
      <c r="AP879" s="57"/>
      <c r="AQ879" s="57"/>
      <c r="AR879" s="57"/>
      <c r="AS879" s="57"/>
      <c r="AT879" s="57"/>
      <c r="AU879" s="58">
        <f t="shared" si="13"/>
        <v>-156</v>
      </c>
      <c r="AV879" s="58"/>
    </row>
    <row r="880" spans="1:48" ht="13.5" customHeight="1">
      <c r="A880" s="84">
        <v>878</v>
      </c>
      <c r="B880" s="85">
        <v>868</v>
      </c>
      <c r="C880" s="85" t="s">
        <v>39</v>
      </c>
      <c r="D880" s="175">
        <v>-61.470667499999877</v>
      </c>
      <c r="F880" s="45">
        <v>882</v>
      </c>
      <c r="G880" s="45">
        <v>883.03782000000012</v>
      </c>
      <c r="H880" s="56">
        <v>88.529332500000123</v>
      </c>
      <c r="I880" s="56">
        <v>88.529332500000123</v>
      </c>
      <c r="J880" s="148">
        <v>0</v>
      </c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  <c r="AA880" s="57"/>
      <c r="AB880" s="57"/>
      <c r="AC880" s="57"/>
      <c r="AD880" s="57"/>
      <c r="AE880" s="57"/>
      <c r="AF880" s="57"/>
      <c r="AG880" s="57"/>
      <c r="AH880" s="57"/>
      <c r="AI880" s="57"/>
      <c r="AJ880" s="57"/>
      <c r="AK880" s="57"/>
      <c r="AL880" s="57"/>
      <c r="AM880" s="57"/>
      <c r="AN880" s="57">
        <v>150</v>
      </c>
      <c r="AO880" s="57"/>
      <c r="AP880" s="57"/>
      <c r="AQ880" s="57"/>
      <c r="AR880" s="57"/>
      <c r="AS880" s="57"/>
      <c r="AT880" s="57"/>
      <c r="AU880" s="58">
        <f t="shared" si="13"/>
        <v>-61.470667499999877</v>
      </c>
      <c r="AV880" s="58"/>
    </row>
    <row r="881" spans="1:48" ht="13.5" customHeight="1">
      <c r="A881" s="82">
        <v>879</v>
      </c>
      <c r="B881" s="85">
        <v>879</v>
      </c>
      <c r="C881" s="85" t="s">
        <v>39</v>
      </c>
      <c r="D881" s="175">
        <v>128.44612875000007</v>
      </c>
      <c r="F881" s="45">
        <v>560</v>
      </c>
      <c r="G881" s="45">
        <v>506.87069999999989</v>
      </c>
      <c r="H881" s="56">
        <v>128.44612875000007</v>
      </c>
      <c r="I881" s="56">
        <v>128.44612875000007</v>
      </c>
      <c r="J881" s="148">
        <v>0</v>
      </c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  <c r="AA881" s="57"/>
      <c r="AB881" s="57"/>
      <c r="AC881" s="57"/>
      <c r="AD881" s="57"/>
      <c r="AE881" s="57"/>
      <c r="AF881" s="57"/>
      <c r="AG881" s="57"/>
      <c r="AH881" s="57"/>
      <c r="AI881" s="57"/>
      <c r="AJ881" s="57"/>
      <c r="AK881" s="57"/>
      <c r="AL881" s="57"/>
      <c r="AM881" s="57"/>
      <c r="AN881" s="57"/>
      <c r="AO881" s="57"/>
      <c r="AP881" s="57"/>
      <c r="AQ881" s="57"/>
      <c r="AR881" s="57"/>
      <c r="AS881" s="57"/>
      <c r="AT881" s="57"/>
      <c r="AU881" s="58">
        <f t="shared" si="13"/>
        <v>128.44612875000007</v>
      </c>
      <c r="AV881" s="58"/>
    </row>
    <row r="882" spans="1:48" ht="13.5" customHeight="1">
      <c r="A882" s="84">
        <v>880</v>
      </c>
      <c r="B882" s="85">
        <v>880</v>
      </c>
      <c r="C882" s="85" t="s">
        <v>39</v>
      </c>
      <c r="D882" s="175">
        <v>159.93900000000002</v>
      </c>
      <c r="F882" s="45">
        <v>882</v>
      </c>
      <c r="G882" s="45">
        <v>876.96</v>
      </c>
      <c r="H882" s="56">
        <v>159.93900000000002</v>
      </c>
      <c r="I882" s="56">
        <v>159.93900000000002</v>
      </c>
      <c r="J882" s="148">
        <v>0</v>
      </c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  <c r="AA882" s="57"/>
      <c r="AB882" s="57"/>
      <c r="AC882" s="57"/>
      <c r="AD882" s="57"/>
      <c r="AE882" s="57"/>
      <c r="AF882" s="57"/>
      <c r="AG882" s="57"/>
      <c r="AH882" s="57"/>
      <c r="AI882" s="57"/>
      <c r="AJ882" s="57"/>
      <c r="AK882" s="57"/>
      <c r="AL882" s="57"/>
      <c r="AM882" s="57"/>
      <c r="AN882" s="57"/>
      <c r="AO882" s="57"/>
      <c r="AP882" s="57"/>
      <c r="AQ882" s="57"/>
      <c r="AR882" s="57"/>
      <c r="AS882" s="57"/>
      <c r="AT882" s="57"/>
      <c r="AU882" s="58">
        <f t="shared" si="13"/>
        <v>159.93900000000002</v>
      </c>
      <c r="AV882" s="58"/>
    </row>
    <row r="883" spans="1:48" ht="13.5" customHeight="1">
      <c r="A883" s="82">
        <v>881</v>
      </c>
      <c r="B883" s="85">
        <v>881</v>
      </c>
      <c r="C883" s="85" t="s">
        <v>39</v>
      </c>
      <c r="D883" s="175">
        <v>145.38411749999995</v>
      </c>
      <c r="F883" s="45">
        <v>882</v>
      </c>
      <c r="G883" s="45">
        <v>876.96</v>
      </c>
      <c r="H883" s="56">
        <v>145.38411749999995</v>
      </c>
      <c r="I883" s="56">
        <v>145.38411749999995</v>
      </c>
      <c r="J883" s="148">
        <v>0</v>
      </c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  <c r="AA883" s="57"/>
      <c r="AB883" s="57"/>
      <c r="AC883" s="57"/>
      <c r="AD883" s="57"/>
      <c r="AE883" s="57"/>
      <c r="AF883" s="57"/>
      <c r="AG883" s="57"/>
      <c r="AH883" s="57"/>
      <c r="AI883" s="57"/>
      <c r="AJ883" s="57"/>
      <c r="AK883" s="57"/>
      <c r="AL883" s="57"/>
      <c r="AM883" s="57"/>
      <c r="AN883" s="57"/>
      <c r="AO883" s="57"/>
      <c r="AP883" s="57"/>
      <c r="AQ883" s="57"/>
      <c r="AR883" s="57"/>
      <c r="AS883" s="57"/>
      <c r="AT883" s="57"/>
      <c r="AU883" s="58">
        <f t="shared" si="13"/>
        <v>145.38411749999995</v>
      </c>
      <c r="AV883" s="58"/>
    </row>
    <row r="884" spans="1:48" ht="13.5" customHeight="1">
      <c r="A884" s="84">
        <v>882</v>
      </c>
      <c r="B884" s="85">
        <v>882</v>
      </c>
      <c r="C884" s="85" t="s">
        <v>39</v>
      </c>
      <c r="D884" s="175">
        <v>-735.46429999999998</v>
      </c>
      <c r="F884" s="45">
        <v>882</v>
      </c>
      <c r="G884" s="45">
        <v>845.27922599999999</v>
      </c>
      <c r="H884" s="56">
        <v>-16.114299999999957</v>
      </c>
      <c r="I884" s="56">
        <v>-16.114299999999957</v>
      </c>
      <c r="J884" s="148">
        <v>0</v>
      </c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>
        <v>80</v>
      </c>
      <c r="W884" s="57"/>
      <c r="X884" s="57"/>
      <c r="Y884" s="57">
        <v>240</v>
      </c>
      <c r="Z884" s="57">
        <v>300</v>
      </c>
      <c r="AA884" s="57"/>
      <c r="AB884" s="57"/>
      <c r="AC884" s="57">
        <v>99.35</v>
      </c>
      <c r="AD884" s="57"/>
      <c r="AE884" s="57"/>
      <c r="AF884" s="57"/>
      <c r="AG884" s="57"/>
      <c r="AH884" s="57"/>
      <c r="AI884" s="57"/>
      <c r="AJ884" s="57"/>
      <c r="AK884" s="57"/>
      <c r="AL884" s="57"/>
      <c r="AM884" s="57"/>
      <c r="AN884" s="57"/>
      <c r="AO884" s="57"/>
      <c r="AP884" s="57"/>
      <c r="AQ884" s="57"/>
      <c r="AR884" s="57"/>
      <c r="AS884" s="57"/>
      <c r="AT884" s="57"/>
      <c r="AU884" s="58">
        <f t="shared" si="13"/>
        <v>-735.46429999999998</v>
      </c>
      <c r="AV884" s="58"/>
    </row>
    <row r="885" spans="1:48" ht="13.5" customHeight="1">
      <c r="A885" s="84">
        <v>883</v>
      </c>
      <c r="B885" s="85">
        <v>883</v>
      </c>
      <c r="C885" s="85" t="s">
        <v>39</v>
      </c>
      <c r="D885" s="175">
        <v>-28</v>
      </c>
      <c r="F885" s="45">
        <v>882</v>
      </c>
      <c r="G885" s="45">
        <v>758.85663</v>
      </c>
      <c r="H885" s="56">
        <v>-28</v>
      </c>
      <c r="I885" s="56">
        <v>-28</v>
      </c>
      <c r="J885" s="148">
        <v>0</v>
      </c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  <c r="AA885" s="57"/>
      <c r="AB885" s="57"/>
      <c r="AC885" s="57"/>
      <c r="AD885" s="57"/>
      <c r="AE885" s="57"/>
      <c r="AF885" s="57"/>
      <c r="AG885" s="57"/>
      <c r="AH885" s="57"/>
      <c r="AI885" s="57"/>
      <c r="AJ885" s="57"/>
      <c r="AK885" s="57"/>
      <c r="AL885" s="57"/>
      <c r="AM885" s="57"/>
      <c r="AN885" s="57"/>
      <c r="AO885" s="57"/>
      <c r="AP885" s="57"/>
      <c r="AQ885" s="57"/>
      <c r="AR885" s="57"/>
      <c r="AS885" s="57"/>
      <c r="AT885" s="57"/>
      <c r="AU885" s="58">
        <f t="shared" si="13"/>
        <v>-28</v>
      </c>
      <c r="AV885" s="58"/>
    </row>
    <row r="886" spans="1:48" ht="13.5" customHeight="1">
      <c r="A886" s="82">
        <v>884</v>
      </c>
      <c r="B886" s="85">
        <v>884</v>
      </c>
      <c r="C886" s="85" t="s">
        <v>39</v>
      </c>
      <c r="D886" s="175">
        <v>-71.166200000000231</v>
      </c>
      <c r="F886" s="45">
        <v>882</v>
      </c>
      <c r="G886" s="45">
        <v>830.71949999999993</v>
      </c>
      <c r="H886" s="56">
        <v>-71.166200000000231</v>
      </c>
      <c r="I886" s="56">
        <v>-71.166200000000231</v>
      </c>
      <c r="J886" s="148">
        <v>0</v>
      </c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  <c r="AA886" s="57"/>
      <c r="AB886" s="57"/>
      <c r="AC886" s="57"/>
      <c r="AD886" s="57"/>
      <c r="AE886" s="57"/>
      <c r="AF886" s="57"/>
      <c r="AG886" s="57"/>
      <c r="AH886" s="57"/>
      <c r="AI886" s="57"/>
      <c r="AJ886" s="57"/>
      <c r="AK886" s="57"/>
      <c r="AL886" s="57"/>
      <c r="AM886" s="57"/>
      <c r="AN886" s="57"/>
      <c r="AO886" s="57"/>
      <c r="AP886" s="57"/>
      <c r="AQ886" s="57"/>
      <c r="AR886" s="57"/>
      <c r="AS886" s="57"/>
      <c r="AT886" s="57"/>
      <c r="AU886" s="58">
        <f t="shared" si="13"/>
        <v>-71.166200000000231</v>
      </c>
      <c r="AV886" s="58"/>
    </row>
    <row r="887" spans="1:48" ht="13.5" customHeight="1">
      <c r="A887" s="84">
        <v>885</v>
      </c>
      <c r="B887" s="85">
        <v>886</v>
      </c>
      <c r="C887" s="85" t="s">
        <v>39</v>
      </c>
      <c r="D887" s="175">
        <v>103.83460000000002</v>
      </c>
      <c r="F887" s="45">
        <v>882</v>
      </c>
      <c r="G887" s="45">
        <v>844.13479124999992</v>
      </c>
      <c r="H887" s="56">
        <v>103.83460000000002</v>
      </c>
      <c r="I887" s="56">
        <v>103.83460000000002</v>
      </c>
      <c r="J887" s="148">
        <v>0</v>
      </c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  <c r="AA887" s="57"/>
      <c r="AB887" s="57"/>
      <c r="AC887" s="57"/>
      <c r="AD887" s="57"/>
      <c r="AE887" s="57"/>
      <c r="AF887" s="57"/>
      <c r="AG887" s="57"/>
      <c r="AH887" s="57"/>
      <c r="AI887" s="57"/>
      <c r="AJ887" s="57"/>
      <c r="AK887" s="57"/>
      <c r="AL887" s="57"/>
      <c r="AM887" s="57"/>
      <c r="AN887" s="57"/>
      <c r="AO887" s="57"/>
      <c r="AP887" s="57"/>
      <c r="AQ887" s="57"/>
      <c r="AR887" s="57"/>
      <c r="AS887" s="57"/>
      <c r="AT887" s="57"/>
      <c r="AU887" s="58">
        <f t="shared" si="13"/>
        <v>103.83460000000002</v>
      </c>
      <c r="AV887" s="58"/>
    </row>
    <row r="888" spans="1:48" ht="13.5" customHeight="1">
      <c r="A888" s="82">
        <v>886</v>
      </c>
      <c r="B888" s="85">
        <v>887</v>
      </c>
      <c r="C888" s="85" t="s">
        <v>39</v>
      </c>
      <c r="D888" s="175">
        <v>-214.08023875000003</v>
      </c>
      <c r="F888" s="45">
        <v>882</v>
      </c>
      <c r="G888" s="45">
        <v>852.6</v>
      </c>
      <c r="H888" s="56">
        <v>-25.580238750000035</v>
      </c>
      <c r="I888" s="56">
        <v>-25.580238750000035</v>
      </c>
      <c r="J888" s="148">
        <v>0</v>
      </c>
      <c r="K888" s="57"/>
      <c r="L888" s="57"/>
      <c r="M888" s="57"/>
      <c r="N888" s="57"/>
      <c r="O888" s="57"/>
      <c r="P888" s="57">
        <v>188.5</v>
      </c>
      <c r="Q888" s="57"/>
      <c r="R888" s="57"/>
      <c r="S888" s="57"/>
      <c r="T888" s="57"/>
      <c r="U888" s="57"/>
      <c r="V888" s="57"/>
      <c r="W888" s="57"/>
      <c r="X888" s="57"/>
      <c r="Y888" s="57"/>
      <c r="Z888" s="57"/>
      <c r="AA888" s="57"/>
      <c r="AB888" s="57"/>
      <c r="AC888" s="57"/>
      <c r="AD888" s="57"/>
      <c r="AE888" s="57"/>
      <c r="AF888" s="57"/>
      <c r="AG888" s="57"/>
      <c r="AH888" s="57"/>
      <c r="AI888" s="57"/>
      <c r="AJ888" s="57"/>
      <c r="AK888" s="57"/>
      <c r="AL888" s="57"/>
      <c r="AM888" s="57"/>
      <c r="AN888" s="57"/>
      <c r="AO888" s="57"/>
      <c r="AP888" s="57"/>
      <c r="AQ888" s="57"/>
      <c r="AR888" s="57"/>
      <c r="AS888" s="57"/>
      <c r="AT888" s="57"/>
      <c r="AU888" s="58">
        <f t="shared" si="13"/>
        <v>-214.08023875000003</v>
      </c>
      <c r="AV888" s="58"/>
    </row>
    <row r="889" spans="1:48" ht="13.5" customHeight="1">
      <c r="A889" s="84">
        <v>887</v>
      </c>
      <c r="B889" s="85">
        <v>889</v>
      </c>
      <c r="C889" s="85" t="s">
        <v>39</v>
      </c>
      <c r="D889" s="175">
        <v>-115.72799999999995</v>
      </c>
      <c r="F889" s="45">
        <v>882</v>
      </c>
      <c r="G889" s="45">
        <v>798.41205000000002</v>
      </c>
      <c r="H889" s="56">
        <v>341.84200000000004</v>
      </c>
      <c r="I889" s="56">
        <v>341.84200000000004</v>
      </c>
      <c r="J889" s="148">
        <v>0</v>
      </c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  <c r="AA889" s="57"/>
      <c r="AB889" s="57"/>
      <c r="AC889" s="57"/>
      <c r="AD889" s="57"/>
      <c r="AE889" s="57"/>
      <c r="AF889" s="57"/>
      <c r="AG889" s="57"/>
      <c r="AH889" s="57"/>
      <c r="AI889" s="57"/>
      <c r="AJ889" s="57"/>
      <c r="AK889" s="57"/>
      <c r="AL889" s="57"/>
      <c r="AM889" s="57"/>
      <c r="AN889" s="57"/>
      <c r="AO889" s="57"/>
      <c r="AP889" s="57">
        <v>457.57</v>
      </c>
      <c r="AQ889" s="57"/>
      <c r="AR889" s="57"/>
      <c r="AS889" s="57"/>
      <c r="AT889" s="57"/>
      <c r="AU889" s="58">
        <f t="shared" si="13"/>
        <v>-115.72799999999995</v>
      </c>
      <c r="AV889" s="58"/>
    </row>
    <row r="890" spans="1:48" ht="13.5" customHeight="1">
      <c r="A890" s="84">
        <v>888</v>
      </c>
      <c r="B890" s="85">
        <v>890</v>
      </c>
      <c r="C890" s="85" t="s">
        <v>39</v>
      </c>
      <c r="D890" s="175">
        <v>5.0399999999999636</v>
      </c>
      <c r="F890" s="45">
        <v>882</v>
      </c>
      <c r="G890" s="45">
        <v>646.90729199999998</v>
      </c>
      <c r="H890" s="56">
        <v>5.0399999999999636</v>
      </c>
      <c r="I890" s="56">
        <v>5.0399999999999636</v>
      </c>
      <c r="J890" s="148">
        <v>0</v>
      </c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  <c r="AA890" s="57"/>
      <c r="AB890" s="57"/>
      <c r="AC890" s="57"/>
      <c r="AD890" s="57"/>
      <c r="AE890" s="57"/>
      <c r="AF890" s="57"/>
      <c r="AG890" s="57"/>
      <c r="AH890" s="57"/>
      <c r="AI890" s="57"/>
      <c r="AJ890" s="57"/>
      <c r="AK890" s="57"/>
      <c r="AL890" s="57"/>
      <c r="AM890" s="57"/>
      <c r="AN890" s="57"/>
      <c r="AO890" s="57"/>
      <c r="AP890" s="57"/>
      <c r="AQ890" s="57"/>
      <c r="AR890" s="57"/>
      <c r="AS890" s="57"/>
      <c r="AT890" s="57"/>
      <c r="AU890" s="58">
        <f t="shared" si="13"/>
        <v>5.0399999999999636</v>
      </c>
      <c r="AV890" s="58"/>
    </row>
    <row r="891" spans="1:48" ht="13.5" customHeight="1">
      <c r="A891" s="82">
        <v>889</v>
      </c>
      <c r="B891" s="85">
        <v>891</v>
      </c>
      <c r="C891" s="85" t="s">
        <v>39</v>
      </c>
      <c r="D891" s="175">
        <v>-9.3600000000000367</v>
      </c>
      <c r="F891" s="45">
        <v>882</v>
      </c>
      <c r="G891" s="45">
        <v>505.84375799999998</v>
      </c>
      <c r="H891" s="56">
        <v>-9.3600000000000367</v>
      </c>
      <c r="I891" s="56">
        <v>-9.3600000000000367</v>
      </c>
      <c r="J891" s="148">
        <v>0</v>
      </c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  <c r="AA891" s="57"/>
      <c r="AB891" s="57"/>
      <c r="AC891" s="57"/>
      <c r="AD891" s="57"/>
      <c r="AE891" s="57"/>
      <c r="AF891" s="57"/>
      <c r="AG891" s="57"/>
      <c r="AH891" s="57"/>
      <c r="AI891" s="57"/>
      <c r="AJ891" s="57"/>
      <c r="AK891" s="57"/>
      <c r="AL891" s="57"/>
      <c r="AM891" s="57"/>
      <c r="AN891" s="57"/>
      <c r="AO891" s="57"/>
      <c r="AP891" s="57"/>
      <c r="AQ891" s="57"/>
      <c r="AR891" s="57"/>
      <c r="AS891" s="57"/>
      <c r="AT891" s="57"/>
      <c r="AU891" s="58">
        <f t="shared" si="13"/>
        <v>-9.3600000000000367</v>
      </c>
      <c r="AV891" s="58"/>
    </row>
    <row r="892" spans="1:48" ht="13.5" customHeight="1">
      <c r="A892" s="84">
        <v>890</v>
      </c>
      <c r="B892" s="85">
        <v>895</v>
      </c>
      <c r="C892" s="85" t="s">
        <v>39</v>
      </c>
      <c r="D892" s="175">
        <v>73.365999999999985</v>
      </c>
      <c r="F892" s="45">
        <v>882</v>
      </c>
      <c r="G892" s="45">
        <v>800.72102999999993</v>
      </c>
      <c r="H892" s="56">
        <v>73.365999999999985</v>
      </c>
      <c r="I892" s="56">
        <v>73.365999999999985</v>
      </c>
      <c r="J892" s="148">
        <v>0</v>
      </c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  <c r="AA892" s="57"/>
      <c r="AB892" s="57"/>
      <c r="AC892" s="57"/>
      <c r="AD892" s="57"/>
      <c r="AE892" s="57"/>
      <c r="AF892" s="57"/>
      <c r="AG892" s="57"/>
      <c r="AH892" s="57"/>
      <c r="AI892" s="57"/>
      <c r="AJ892" s="57"/>
      <c r="AK892" s="57"/>
      <c r="AL892" s="57"/>
      <c r="AM892" s="57"/>
      <c r="AN892" s="57"/>
      <c r="AO892" s="57"/>
      <c r="AP892" s="57"/>
      <c r="AQ892" s="57"/>
      <c r="AR892" s="57"/>
      <c r="AS892" s="57"/>
      <c r="AT892" s="57"/>
      <c r="AU892" s="58">
        <f t="shared" si="13"/>
        <v>73.365999999999985</v>
      </c>
      <c r="AV892" s="58"/>
    </row>
    <row r="893" spans="1:48" ht="13.5" customHeight="1">
      <c r="A893" s="82">
        <v>891</v>
      </c>
      <c r="B893" s="85">
        <v>896</v>
      </c>
      <c r="C893" s="85" t="s">
        <v>39</v>
      </c>
      <c r="D893" s="175">
        <v>-1117.06</v>
      </c>
      <c r="F893" s="45">
        <v>882</v>
      </c>
      <c r="G893" s="45">
        <v>922.17476999999997</v>
      </c>
      <c r="H893" s="56">
        <v>-18.960000000000036</v>
      </c>
      <c r="I893" s="56">
        <v>-18.960000000000036</v>
      </c>
      <c r="J893" s="148">
        <v>0</v>
      </c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  <c r="AA893" s="57">
        <v>1098.0999999999999</v>
      </c>
      <c r="AB893" s="57"/>
      <c r="AC893" s="57"/>
      <c r="AD893" s="57"/>
      <c r="AE893" s="57"/>
      <c r="AF893" s="57"/>
      <c r="AG893" s="57"/>
      <c r="AH893" s="57"/>
      <c r="AI893" s="57"/>
      <c r="AJ893" s="57"/>
      <c r="AK893" s="57"/>
      <c r="AL893" s="57"/>
      <c r="AM893" s="57"/>
      <c r="AN893" s="57"/>
      <c r="AO893" s="57"/>
      <c r="AP893" s="57"/>
      <c r="AQ893" s="57"/>
      <c r="AR893" s="57"/>
      <c r="AS893" s="57"/>
      <c r="AT893" s="57"/>
      <c r="AU893" s="58">
        <f t="shared" si="13"/>
        <v>-1117.06</v>
      </c>
      <c r="AV893" s="58"/>
    </row>
    <row r="894" spans="1:48" ht="13.5" customHeight="1">
      <c r="A894" s="84">
        <v>892</v>
      </c>
      <c r="B894" s="85">
        <v>897</v>
      </c>
      <c r="C894" s="85" t="s">
        <v>39</v>
      </c>
      <c r="D894" s="175">
        <v>-825.53599999999983</v>
      </c>
      <c r="F894" s="45">
        <v>630</v>
      </c>
      <c r="G894" s="45">
        <v>438.48</v>
      </c>
      <c r="H894" s="56">
        <v>357.56400000000008</v>
      </c>
      <c r="I894" s="56">
        <v>357.56400000000008</v>
      </c>
      <c r="J894" s="148">
        <v>0</v>
      </c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  <c r="AA894" s="57"/>
      <c r="AB894" s="57"/>
      <c r="AC894" s="57"/>
      <c r="AD894" s="57"/>
      <c r="AE894" s="57"/>
      <c r="AF894" s="57"/>
      <c r="AG894" s="57">
        <v>1183.0999999999999</v>
      </c>
      <c r="AH894" s="57"/>
      <c r="AI894" s="57"/>
      <c r="AJ894" s="57"/>
      <c r="AK894" s="57"/>
      <c r="AL894" s="57"/>
      <c r="AM894" s="57"/>
      <c r="AN894" s="57"/>
      <c r="AO894" s="57"/>
      <c r="AP894" s="57"/>
      <c r="AQ894" s="57"/>
      <c r="AR894" s="57"/>
      <c r="AS894" s="57"/>
      <c r="AT894" s="57"/>
      <c r="AU894" s="58">
        <f t="shared" si="13"/>
        <v>-825.53599999999983</v>
      </c>
      <c r="AV894" s="58"/>
    </row>
    <row r="895" spans="1:48" ht="13.5" customHeight="1">
      <c r="A895" s="84">
        <v>893</v>
      </c>
      <c r="B895" s="85">
        <v>898</v>
      </c>
      <c r="C895" s="85" t="s">
        <v>39</v>
      </c>
      <c r="D895" s="175">
        <v>-19.863999999999976</v>
      </c>
      <c r="F895" s="45">
        <v>560</v>
      </c>
      <c r="G895" s="45">
        <v>600.82749999999999</v>
      </c>
      <c r="H895" s="56">
        <v>150.13600000000002</v>
      </c>
      <c r="I895" s="56">
        <v>150.13600000000002</v>
      </c>
      <c r="J895" s="148">
        <v>0</v>
      </c>
      <c r="K895" s="57"/>
      <c r="L895" s="57"/>
      <c r="M895" s="57"/>
      <c r="N895" s="57"/>
      <c r="O895" s="57">
        <v>170</v>
      </c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  <c r="AA895" s="57"/>
      <c r="AB895" s="57"/>
      <c r="AC895" s="57"/>
      <c r="AD895" s="57"/>
      <c r="AE895" s="57"/>
      <c r="AF895" s="57"/>
      <c r="AG895" s="57"/>
      <c r="AH895" s="57"/>
      <c r="AI895" s="57"/>
      <c r="AJ895" s="57"/>
      <c r="AK895" s="57"/>
      <c r="AL895" s="57"/>
      <c r="AM895" s="57"/>
      <c r="AN895" s="57"/>
      <c r="AO895" s="57"/>
      <c r="AP895" s="57"/>
      <c r="AQ895" s="57"/>
      <c r="AR895" s="57"/>
      <c r="AS895" s="57"/>
      <c r="AT895" s="57"/>
      <c r="AU895" s="58">
        <f t="shared" si="13"/>
        <v>-19.863999999999976</v>
      </c>
      <c r="AV895" s="58"/>
    </row>
    <row r="896" spans="1:48" ht="13.5" customHeight="1">
      <c r="A896" s="82">
        <v>894</v>
      </c>
      <c r="B896" s="85">
        <v>899</v>
      </c>
      <c r="C896" s="85" t="s">
        <v>39</v>
      </c>
      <c r="D896" s="175">
        <v>-360.65799999999996</v>
      </c>
      <c r="F896" s="45">
        <v>882</v>
      </c>
      <c r="G896" s="45">
        <v>596.38173749999987</v>
      </c>
      <c r="H896" s="56">
        <v>-10.657999999999959</v>
      </c>
      <c r="I896" s="56">
        <v>-10.657999999999959</v>
      </c>
      <c r="J896" s="148">
        <v>0</v>
      </c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  <c r="AA896" s="57"/>
      <c r="AB896" s="57"/>
      <c r="AC896" s="57"/>
      <c r="AD896" s="57"/>
      <c r="AE896" s="57"/>
      <c r="AF896" s="57"/>
      <c r="AG896" s="57"/>
      <c r="AH896" s="57"/>
      <c r="AI896" s="57">
        <v>110</v>
      </c>
      <c r="AJ896" s="57"/>
      <c r="AK896" s="57"/>
      <c r="AL896" s="57"/>
      <c r="AM896" s="57">
        <v>240</v>
      </c>
      <c r="AN896" s="57"/>
      <c r="AO896" s="57"/>
      <c r="AP896" s="57"/>
      <c r="AQ896" s="57"/>
      <c r="AR896" s="57"/>
      <c r="AS896" s="57"/>
      <c r="AT896" s="57"/>
      <c r="AU896" s="58">
        <f t="shared" si="13"/>
        <v>-360.65799999999996</v>
      </c>
      <c r="AV896" s="58"/>
    </row>
    <row r="897" spans="1:48" ht="13.5" customHeight="1">
      <c r="A897" s="84">
        <v>895</v>
      </c>
      <c r="B897" s="85">
        <v>901</v>
      </c>
      <c r="C897" s="85" t="s">
        <v>39</v>
      </c>
      <c r="D897" s="175">
        <v>-106.58524000000008</v>
      </c>
      <c r="F897" s="45">
        <v>630</v>
      </c>
      <c r="G897" s="45">
        <v>483.17168249999997</v>
      </c>
      <c r="H897" s="56">
        <v>35.744759999999928</v>
      </c>
      <c r="I897" s="56">
        <v>35.744759999999928</v>
      </c>
      <c r="J897" s="148">
        <v>0</v>
      </c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  <c r="AA897" s="57"/>
      <c r="AB897" s="57"/>
      <c r="AC897" s="57"/>
      <c r="AD897" s="57"/>
      <c r="AE897" s="57"/>
      <c r="AF897" s="57"/>
      <c r="AG897" s="57"/>
      <c r="AH897" s="57"/>
      <c r="AI897" s="57"/>
      <c r="AJ897" s="57"/>
      <c r="AK897" s="57"/>
      <c r="AL897" s="57"/>
      <c r="AM897" s="57"/>
      <c r="AN897" s="57"/>
      <c r="AO897" s="57"/>
      <c r="AP897" s="57"/>
      <c r="AQ897" s="57"/>
      <c r="AR897" s="57"/>
      <c r="AS897" s="57">
        <v>142.33000000000001</v>
      </c>
      <c r="AT897" s="57"/>
      <c r="AU897" s="58">
        <f t="shared" si="13"/>
        <v>-106.58524000000008</v>
      </c>
      <c r="AV897" s="58"/>
    </row>
    <row r="898" spans="1:48" ht="13.5" customHeight="1">
      <c r="A898" s="82">
        <v>896</v>
      </c>
      <c r="B898" s="85">
        <v>902</v>
      </c>
      <c r="C898" s="85" t="s">
        <v>39</v>
      </c>
      <c r="D898" s="175">
        <v>-452.17999999999995</v>
      </c>
      <c r="H898" s="56"/>
      <c r="I898" s="56">
        <v>504</v>
      </c>
      <c r="J898" s="148">
        <v>876.18</v>
      </c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  <c r="AA898" s="57"/>
      <c r="AB898" s="57"/>
      <c r="AC898" s="57"/>
      <c r="AD898" s="57"/>
      <c r="AE898" s="57">
        <v>30</v>
      </c>
      <c r="AF898" s="57"/>
      <c r="AG898" s="57"/>
      <c r="AH898" s="57"/>
      <c r="AI898" s="57"/>
      <c r="AJ898" s="57"/>
      <c r="AK898" s="57"/>
      <c r="AL898" s="57"/>
      <c r="AM898" s="57"/>
      <c r="AN898" s="57"/>
      <c r="AO898" s="57">
        <v>50</v>
      </c>
      <c r="AP898" s="57"/>
      <c r="AQ898" s="57"/>
      <c r="AR898" s="57"/>
      <c r="AS898" s="57"/>
      <c r="AT898" s="57"/>
      <c r="AU898" s="58">
        <f t="shared" si="13"/>
        <v>-452.17999999999995</v>
      </c>
      <c r="AV898" s="58"/>
    </row>
    <row r="899" spans="1:48" ht="13.5" customHeight="1">
      <c r="A899" s="84">
        <v>897</v>
      </c>
      <c r="B899" s="85">
        <v>905</v>
      </c>
      <c r="C899" s="85" t="s">
        <v>39</v>
      </c>
      <c r="D899" s="175">
        <v>-272.11764499999981</v>
      </c>
      <c r="F899" s="45">
        <v>630</v>
      </c>
      <c r="G899" s="45">
        <v>481.64896500000003</v>
      </c>
      <c r="H899" s="56">
        <v>-52.117644999999811</v>
      </c>
      <c r="I899" s="56">
        <v>-52.117644999999811</v>
      </c>
      <c r="J899" s="148">
        <v>0</v>
      </c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  <c r="AA899" s="57"/>
      <c r="AB899" s="57"/>
      <c r="AC899" s="57"/>
      <c r="AD899" s="57"/>
      <c r="AE899" s="57"/>
      <c r="AF899" s="57"/>
      <c r="AG899" s="57"/>
      <c r="AH899" s="57"/>
      <c r="AI899" s="57">
        <v>130</v>
      </c>
      <c r="AJ899" s="57"/>
      <c r="AK899" s="57"/>
      <c r="AL899" s="57"/>
      <c r="AM899" s="57"/>
      <c r="AN899" s="57"/>
      <c r="AO899" s="57"/>
      <c r="AP899" s="57">
        <v>90</v>
      </c>
      <c r="AQ899" s="57"/>
      <c r="AR899" s="57"/>
      <c r="AS899" s="57"/>
      <c r="AT899" s="57"/>
      <c r="AU899" s="58">
        <f t="shared" si="13"/>
        <v>-272.11764499999981</v>
      </c>
      <c r="AV899" s="58"/>
    </row>
    <row r="900" spans="1:48" ht="13.5" customHeight="1">
      <c r="A900" s="84">
        <v>898</v>
      </c>
      <c r="B900" s="85">
        <v>907</v>
      </c>
      <c r="C900" s="85" t="s">
        <v>39</v>
      </c>
      <c r="D900" s="175">
        <v>-11.977699999999999</v>
      </c>
      <c r="F900" s="45">
        <v>882</v>
      </c>
      <c r="G900" s="45">
        <v>663.5503920000001</v>
      </c>
      <c r="H900" s="56">
        <v>51.022300000000001</v>
      </c>
      <c r="I900" s="56">
        <v>51.022300000000001</v>
      </c>
      <c r="J900" s="148">
        <v>0</v>
      </c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  <c r="AA900" s="57"/>
      <c r="AB900" s="57"/>
      <c r="AC900" s="57"/>
      <c r="AD900" s="57"/>
      <c r="AE900" s="57"/>
      <c r="AF900" s="57"/>
      <c r="AG900" s="57"/>
      <c r="AH900" s="57"/>
      <c r="AI900" s="57"/>
      <c r="AJ900" s="57"/>
      <c r="AK900" s="57">
        <v>63</v>
      </c>
      <c r="AL900" s="57"/>
      <c r="AM900" s="57"/>
      <c r="AN900" s="57"/>
      <c r="AO900" s="57"/>
      <c r="AP900" s="57"/>
      <c r="AQ900" s="57"/>
      <c r="AR900" s="57"/>
      <c r="AS900" s="57"/>
      <c r="AT900" s="57"/>
      <c r="AU900" s="58">
        <f t="shared" ref="AU900:AU963" si="14">I900-J900-K900-L900-M900-N900-O900-P900-Q900-R900-S900-T900-U900-V900-W900-X900-Y900-Z900-AA900-AB900-AC900-AD900-AE900-AF900-AG900-AH900-AI900-AJ900-AK900-AL900-AM900-AN900-AO900-AP900-AQ900-AR900-AS900-AT900</f>
        <v>-11.977699999999999</v>
      </c>
      <c r="AV900" s="58"/>
    </row>
    <row r="901" spans="1:48" ht="13.5" customHeight="1">
      <c r="A901" s="82">
        <v>899</v>
      </c>
      <c r="B901" s="85">
        <v>915</v>
      </c>
      <c r="C901" s="85" t="s">
        <v>39</v>
      </c>
      <c r="D901" s="175">
        <v>75.380215000000021</v>
      </c>
      <c r="F901" s="45">
        <v>882</v>
      </c>
      <c r="G901" s="45">
        <v>875.16000000000008</v>
      </c>
      <c r="H901" s="56">
        <v>260.38021500000002</v>
      </c>
      <c r="I901" s="56">
        <v>260.38021500000002</v>
      </c>
      <c r="J901" s="148">
        <v>0</v>
      </c>
      <c r="K901" s="57"/>
      <c r="L901" s="57"/>
      <c r="M901" s="57">
        <v>90</v>
      </c>
      <c r="N901" s="57"/>
      <c r="O901" s="57"/>
      <c r="P901" s="57"/>
      <c r="Q901" s="57"/>
      <c r="R901" s="57"/>
      <c r="S901" s="57"/>
      <c r="T901" s="57">
        <v>95</v>
      </c>
      <c r="U901" s="57"/>
      <c r="V901" s="57"/>
      <c r="W901" s="57"/>
      <c r="X901" s="57"/>
      <c r="Y901" s="57"/>
      <c r="Z901" s="57"/>
      <c r="AA901" s="57"/>
      <c r="AB901" s="57"/>
      <c r="AC901" s="57"/>
      <c r="AD901" s="57"/>
      <c r="AE901" s="57"/>
      <c r="AF901" s="57"/>
      <c r="AG901" s="57"/>
      <c r="AH901" s="57"/>
      <c r="AI901" s="57"/>
      <c r="AJ901" s="57"/>
      <c r="AK901" s="57"/>
      <c r="AL901" s="57"/>
      <c r="AM901" s="57"/>
      <c r="AN901" s="57"/>
      <c r="AO901" s="57"/>
      <c r="AP901" s="57"/>
      <c r="AQ901" s="57"/>
      <c r="AR901" s="57"/>
      <c r="AS901" s="57"/>
      <c r="AT901" s="57"/>
      <c r="AU901" s="58">
        <f t="shared" si="14"/>
        <v>75.380215000000021</v>
      </c>
      <c r="AV901" s="58"/>
    </row>
    <row r="902" spans="1:48" ht="13.5" customHeight="1">
      <c r="A902" s="84">
        <v>900</v>
      </c>
      <c r="B902" s="85">
        <v>916</v>
      </c>
      <c r="C902" s="85" t="s">
        <v>39</v>
      </c>
      <c r="D902" s="175">
        <v>40.753434999999968</v>
      </c>
      <c r="F902" s="45">
        <v>882</v>
      </c>
      <c r="G902" s="45">
        <v>817.94785649999994</v>
      </c>
      <c r="H902" s="56">
        <v>135.75343499999997</v>
      </c>
      <c r="I902" s="56">
        <v>135.75343499999997</v>
      </c>
      <c r="J902" s="148">
        <v>0</v>
      </c>
      <c r="K902" s="57"/>
      <c r="L902" s="57"/>
      <c r="M902" s="57"/>
      <c r="N902" s="57"/>
      <c r="O902" s="57"/>
      <c r="P902" s="57"/>
      <c r="Q902" s="57"/>
      <c r="R902" s="57">
        <v>70</v>
      </c>
      <c r="S902" s="57"/>
      <c r="T902" s="57"/>
      <c r="U902" s="57"/>
      <c r="V902" s="57"/>
      <c r="W902" s="57"/>
      <c r="X902" s="57"/>
      <c r="Y902" s="57"/>
      <c r="Z902" s="57"/>
      <c r="AA902" s="57"/>
      <c r="AB902" s="57"/>
      <c r="AC902" s="57"/>
      <c r="AD902" s="57">
        <v>25</v>
      </c>
      <c r="AE902" s="57"/>
      <c r="AF902" s="57"/>
      <c r="AG902" s="57"/>
      <c r="AH902" s="57"/>
      <c r="AI902" s="57"/>
      <c r="AJ902" s="57"/>
      <c r="AK902" s="57"/>
      <c r="AL902" s="57"/>
      <c r="AM902" s="57"/>
      <c r="AN902" s="57"/>
      <c r="AO902" s="57"/>
      <c r="AP902" s="57"/>
      <c r="AQ902" s="57"/>
      <c r="AR902" s="57"/>
      <c r="AS902" s="57"/>
      <c r="AT902" s="57"/>
      <c r="AU902" s="58">
        <f t="shared" si="14"/>
        <v>40.753434999999968</v>
      </c>
      <c r="AV902" s="58"/>
    </row>
    <row r="903" spans="1:48" ht="13.5" customHeight="1">
      <c r="A903" s="82">
        <v>901</v>
      </c>
      <c r="B903" s="85">
        <v>917</v>
      </c>
      <c r="C903" s="85" t="s">
        <v>39</v>
      </c>
      <c r="D903" s="175">
        <v>-6.2861850000000175</v>
      </c>
      <c r="F903" s="45">
        <v>250</v>
      </c>
      <c r="G903" s="45">
        <v>38.497500000000002</v>
      </c>
      <c r="H903" s="56">
        <v>193.06381499999998</v>
      </c>
      <c r="I903" s="56">
        <v>193.06381499999998</v>
      </c>
      <c r="J903" s="148">
        <v>0</v>
      </c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  <c r="AA903" s="57"/>
      <c r="AB903" s="57"/>
      <c r="AC903" s="57">
        <v>199.35</v>
      </c>
      <c r="AD903" s="57"/>
      <c r="AE903" s="57"/>
      <c r="AF903" s="57"/>
      <c r="AG903" s="57"/>
      <c r="AH903" s="57"/>
      <c r="AI903" s="57"/>
      <c r="AJ903" s="57"/>
      <c r="AK903" s="57"/>
      <c r="AL903" s="57"/>
      <c r="AM903" s="57"/>
      <c r="AN903" s="57"/>
      <c r="AO903" s="57"/>
      <c r="AP903" s="57"/>
      <c r="AQ903" s="57"/>
      <c r="AR903" s="57"/>
      <c r="AS903" s="57"/>
      <c r="AT903" s="57"/>
      <c r="AU903" s="58">
        <f t="shared" si="14"/>
        <v>-6.2861850000000175</v>
      </c>
      <c r="AV903" s="58"/>
    </row>
    <row r="904" spans="1:48" ht="13.5" customHeight="1">
      <c r="A904" s="84">
        <v>902</v>
      </c>
      <c r="B904" s="85">
        <v>918</v>
      </c>
      <c r="C904" s="85" t="s">
        <v>39</v>
      </c>
      <c r="D904" s="175">
        <v>-110</v>
      </c>
      <c r="F904" s="45">
        <v>882</v>
      </c>
      <c r="G904" s="45">
        <v>880</v>
      </c>
      <c r="H904" s="56">
        <v>-60</v>
      </c>
      <c r="I904" s="56">
        <v>-60</v>
      </c>
      <c r="J904" s="148">
        <v>0</v>
      </c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  <c r="AA904" s="57"/>
      <c r="AB904" s="57"/>
      <c r="AC904" s="57">
        <v>50</v>
      </c>
      <c r="AD904" s="57"/>
      <c r="AE904" s="57"/>
      <c r="AF904" s="57"/>
      <c r="AG904" s="57"/>
      <c r="AH904" s="57"/>
      <c r="AI904" s="57"/>
      <c r="AJ904" s="57"/>
      <c r="AK904" s="57"/>
      <c r="AL904" s="57"/>
      <c r="AM904" s="57"/>
      <c r="AN904" s="57"/>
      <c r="AO904" s="57"/>
      <c r="AP904" s="57"/>
      <c r="AQ904" s="57"/>
      <c r="AR904" s="57"/>
      <c r="AS904" s="57"/>
      <c r="AT904" s="57"/>
      <c r="AU904" s="58">
        <f t="shared" si="14"/>
        <v>-110</v>
      </c>
      <c r="AV904" s="58"/>
    </row>
    <row r="905" spans="1:48" ht="13.5" customHeight="1">
      <c r="A905" s="84">
        <v>903</v>
      </c>
      <c r="B905" s="85">
        <v>919</v>
      </c>
      <c r="C905" s="85" t="s">
        <v>39</v>
      </c>
      <c r="D905" s="175">
        <v>165.855075</v>
      </c>
      <c r="F905" s="45">
        <v>882</v>
      </c>
      <c r="G905" s="45">
        <v>933.92749125</v>
      </c>
      <c r="H905" s="56">
        <v>181.855075</v>
      </c>
      <c r="I905" s="56">
        <v>181.855075</v>
      </c>
      <c r="J905" s="148">
        <v>0</v>
      </c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  <c r="AA905" s="57"/>
      <c r="AB905" s="57"/>
      <c r="AC905" s="57"/>
      <c r="AD905" s="57"/>
      <c r="AE905" s="57"/>
      <c r="AF905" s="57"/>
      <c r="AG905" s="57"/>
      <c r="AH905" s="57"/>
      <c r="AI905" s="57"/>
      <c r="AJ905" s="57"/>
      <c r="AK905" s="57"/>
      <c r="AL905" s="57"/>
      <c r="AM905" s="57"/>
      <c r="AN905" s="57"/>
      <c r="AO905" s="57"/>
      <c r="AP905" s="57"/>
      <c r="AQ905" s="57"/>
      <c r="AR905" s="57"/>
      <c r="AS905" s="57">
        <v>16</v>
      </c>
      <c r="AT905" s="57"/>
      <c r="AU905" s="58">
        <f t="shared" si="14"/>
        <v>165.855075</v>
      </c>
      <c r="AV905" s="58"/>
    </row>
    <row r="906" spans="1:48" ht="13.5" customHeight="1">
      <c r="A906" s="82">
        <v>904</v>
      </c>
      <c r="B906" s="85">
        <v>922</v>
      </c>
      <c r="C906" s="85" t="s">
        <v>39</v>
      </c>
      <c r="D906" s="175">
        <v>-50.372059999999919</v>
      </c>
      <c r="F906" s="45">
        <v>882</v>
      </c>
      <c r="G906" s="45">
        <v>934.58793000000003</v>
      </c>
      <c r="H906" s="56">
        <v>84.627940000000081</v>
      </c>
      <c r="I906" s="56">
        <v>84.627940000000081</v>
      </c>
      <c r="J906" s="148">
        <v>0</v>
      </c>
      <c r="K906" s="57"/>
      <c r="L906" s="57"/>
      <c r="M906" s="57"/>
      <c r="N906" s="57">
        <v>80</v>
      </c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  <c r="AA906" s="57"/>
      <c r="AB906" s="57"/>
      <c r="AC906" s="57"/>
      <c r="AD906" s="57"/>
      <c r="AE906" s="57">
        <v>55</v>
      </c>
      <c r="AF906" s="57"/>
      <c r="AG906" s="57"/>
      <c r="AH906" s="57"/>
      <c r="AI906" s="57"/>
      <c r="AJ906" s="57"/>
      <c r="AK906" s="57"/>
      <c r="AL906" s="57"/>
      <c r="AM906" s="57"/>
      <c r="AN906" s="57"/>
      <c r="AO906" s="57"/>
      <c r="AP906" s="57"/>
      <c r="AQ906" s="57"/>
      <c r="AR906" s="57"/>
      <c r="AS906" s="57"/>
      <c r="AT906" s="57"/>
      <c r="AU906" s="58">
        <f t="shared" si="14"/>
        <v>-50.372059999999919</v>
      </c>
      <c r="AV906" s="58"/>
    </row>
    <row r="907" spans="1:48" ht="13.5" customHeight="1">
      <c r="A907" s="84">
        <v>905</v>
      </c>
      <c r="B907" s="85">
        <v>924</v>
      </c>
      <c r="C907" s="85" t="s">
        <v>39</v>
      </c>
      <c r="D907" s="175">
        <v>-199</v>
      </c>
      <c r="F907" s="45">
        <v>882</v>
      </c>
      <c r="G907" s="45">
        <v>959.9096212500001</v>
      </c>
      <c r="H907" s="56">
        <v>-79</v>
      </c>
      <c r="I907" s="56">
        <v>-79</v>
      </c>
      <c r="J907" s="148">
        <v>0</v>
      </c>
      <c r="K907" s="57"/>
      <c r="L907" s="57"/>
      <c r="M907" s="57"/>
      <c r="N907" s="57"/>
      <c r="O907" s="57"/>
      <c r="P907" s="57"/>
      <c r="Q907" s="57">
        <v>20</v>
      </c>
      <c r="R907" s="57"/>
      <c r="S907" s="57"/>
      <c r="T907" s="57"/>
      <c r="U907" s="57"/>
      <c r="V907" s="57"/>
      <c r="W907" s="57"/>
      <c r="X907" s="57"/>
      <c r="Y907" s="57"/>
      <c r="Z907" s="57"/>
      <c r="AA907" s="57">
        <v>100</v>
      </c>
      <c r="AB907" s="57"/>
      <c r="AC907" s="57"/>
      <c r="AD907" s="57"/>
      <c r="AE907" s="57"/>
      <c r="AF907" s="57"/>
      <c r="AG907" s="57"/>
      <c r="AH907" s="57"/>
      <c r="AI907" s="57"/>
      <c r="AJ907" s="57"/>
      <c r="AK907" s="57"/>
      <c r="AL907" s="57"/>
      <c r="AM907" s="57"/>
      <c r="AN907" s="57"/>
      <c r="AO907" s="57"/>
      <c r="AP907" s="57"/>
      <c r="AQ907" s="57"/>
      <c r="AR907" s="57"/>
      <c r="AS907" s="57"/>
      <c r="AT907" s="57"/>
      <c r="AU907" s="58">
        <f t="shared" si="14"/>
        <v>-199</v>
      </c>
      <c r="AV907" s="58"/>
    </row>
    <row r="908" spans="1:48" ht="13.5" customHeight="1">
      <c r="A908" s="82">
        <v>906</v>
      </c>
      <c r="B908" s="85">
        <v>925</v>
      </c>
      <c r="C908" s="85" t="s">
        <v>39</v>
      </c>
      <c r="D908" s="175">
        <v>-20.467642499999897</v>
      </c>
      <c r="F908" s="45">
        <v>882</v>
      </c>
      <c r="G908" s="45">
        <v>654.79147124999997</v>
      </c>
      <c r="H908" s="56">
        <v>-20.467642499999897</v>
      </c>
      <c r="I908" s="56">
        <v>-20.467642499999897</v>
      </c>
      <c r="J908" s="148">
        <v>0</v>
      </c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  <c r="AA908" s="57"/>
      <c r="AB908" s="57"/>
      <c r="AC908" s="57"/>
      <c r="AD908" s="57"/>
      <c r="AE908" s="57"/>
      <c r="AF908" s="57"/>
      <c r="AG908" s="57"/>
      <c r="AH908" s="57"/>
      <c r="AI908" s="57"/>
      <c r="AJ908" s="57"/>
      <c r="AK908" s="57"/>
      <c r="AL908" s="57"/>
      <c r="AM908" s="57"/>
      <c r="AN908" s="57"/>
      <c r="AO908" s="57"/>
      <c r="AP908" s="57"/>
      <c r="AQ908" s="57"/>
      <c r="AR908" s="57"/>
      <c r="AS908" s="57"/>
      <c r="AT908" s="57"/>
      <c r="AU908" s="58">
        <f t="shared" si="14"/>
        <v>-20.467642499999897</v>
      </c>
      <c r="AV908" s="58"/>
    </row>
    <row r="909" spans="1:48" ht="13.5" customHeight="1">
      <c r="A909" s="84">
        <v>907</v>
      </c>
      <c r="B909" s="85">
        <v>926</v>
      </c>
      <c r="C909" s="85" t="s">
        <v>39</v>
      </c>
      <c r="D909" s="175">
        <v>-138.15499999999997</v>
      </c>
      <c r="F909" s="45">
        <v>630</v>
      </c>
      <c r="G909" s="45">
        <v>506.01766500000002</v>
      </c>
      <c r="H909" s="56">
        <v>-38.154999999999973</v>
      </c>
      <c r="I909" s="56">
        <v>-38.154999999999973</v>
      </c>
      <c r="J909" s="148">
        <v>0</v>
      </c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  <c r="AA909" s="57"/>
      <c r="AB909" s="57"/>
      <c r="AC909" s="57"/>
      <c r="AD909" s="57"/>
      <c r="AE909" s="57"/>
      <c r="AF909" s="57"/>
      <c r="AG909" s="57"/>
      <c r="AH909" s="57"/>
      <c r="AI909" s="57"/>
      <c r="AJ909" s="57">
        <v>100</v>
      </c>
      <c r="AK909" s="57"/>
      <c r="AL909" s="57"/>
      <c r="AM909" s="57"/>
      <c r="AN909" s="57"/>
      <c r="AO909" s="57"/>
      <c r="AP909" s="57"/>
      <c r="AQ909" s="57"/>
      <c r="AR909" s="57"/>
      <c r="AS909" s="57"/>
      <c r="AT909" s="57"/>
      <c r="AU909" s="58">
        <f t="shared" si="14"/>
        <v>-138.15499999999997</v>
      </c>
      <c r="AV909" s="58"/>
    </row>
    <row r="910" spans="1:48" ht="13.5" customHeight="1">
      <c r="A910" s="84">
        <v>908</v>
      </c>
      <c r="B910" s="85">
        <v>927</v>
      </c>
      <c r="C910" s="85" t="s">
        <v>39</v>
      </c>
      <c r="D910" s="175">
        <v>174.51376000000005</v>
      </c>
      <c r="F910" s="45">
        <v>882</v>
      </c>
      <c r="G910" s="45">
        <v>903.10349999999994</v>
      </c>
      <c r="H910" s="56">
        <v>174.51376000000005</v>
      </c>
      <c r="I910" s="56">
        <v>174.51376000000005</v>
      </c>
      <c r="J910" s="148">
        <v>0</v>
      </c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  <c r="AA910" s="57"/>
      <c r="AB910" s="57"/>
      <c r="AC910" s="57"/>
      <c r="AD910" s="57"/>
      <c r="AE910" s="57"/>
      <c r="AF910" s="57"/>
      <c r="AG910" s="57"/>
      <c r="AH910" s="57"/>
      <c r="AI910" s="57"/>
      <c r="AJ910" s="57"/>
      <c r="AK910" s="57"/>
      <c r="AL910" s="57"/>
      <c r="AM910" s="57"/>
      <c r="AN910" s="57"/>
      <c r="AO910" s="57"/>
      <c r="AP910" s="57"/>
      <c r="AQ910" s="57"/>
      <c r="AR910" s="57"/>
      <c r="AS910" s="57"/>
      <c r="AT910" s="57"/>
      <c r="AU910" s="58">
        <f t="shared" si="14"/>
        <v>174.51376000000005</v>
      </c>
      <c r="AV910" s="58"/>
    </row>
    <row r="911" spans="1:48" ht="13.5" customHeight="1">
      <c r="A911" s="82">
        <v>909</v>
      </c>
      <c r="B911" s="85">
        <v>929</v>
      </c>
      <c r="C911" s="85" t="s">
        <v>39</v>
      </c>
      <c r="D911" s="175">
        <v>-63.328800000000115</v>
      </c>
      <c r="F911" s="45">
        <v>882</v>
      </c>
      <c r="G911" s="45">
        <v>759.48172499999998</v>
      </c>
      <c r="H911" s="56">
        <v>-13.328800000000115</v>
      </c>
      <c r="I911" s="56">
        <v>-13.328800000000115</v>
      </c>
      <c r="J911" s="148">
        <v>0</v>
      </c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  <c r="AA911" s="57"/>
      <c r="AB911" s="57"/>
      <c r="AC911" s="57"/>
      <c r="AD911" s="57">
        <v>50</v>
      </c>
      <c r="AE911" s="57"/>
      <c r="AF911" s="57"/>
      <c r="AG911" s="57"/>
      <c r="AH911" s="57"/>
      <c r="AI911" s="57"/>
      <c r="AJ911" s="57"/>
      <c r="AK911" s="57"/>
      <c r="AL911" s="57"/>
      <c r="AM911" s="57"/>
      <c r="AN911" s="57"/>
      <c r="AO911" s="57"/>
      <c r="AP911" s="57"/>
      <c r="AQ911" s="57"/>
      <c r="AR911" s="57"/>
      <c r="AS911" s="57"/>
      <c r="AT911" s="57"/>
      <c r="AU911" s="58">
        <f t="shared" si="14"/>
        <v>-63.328800000000115</v>
      </c>
      <c r="AV911" s="58"/>
    </row>
    <row r="912" spans="1:48" ht="13.5" customHeight="1">
      <c r="A912" s="84">
        <v>910</v>
      </c>
      <c r="B912" s="85">
        <v>930</v>
      </c>
      <c r="C912" s="85" t="s">
        <v>39</v>
      </c>
      <c r="D912" s="175">
        <v>-140.65927125000007</v>
      </c>
      <c r="F912" s="45">
        <v>882</v>
      </c>
      <c r="G912" s="45">
        <v>823.80299999999988</v>
      </c>
      <c r="H912" s="56">
        <v>-140.65927125000007</v>
      </c>
      <c r="I912" s="56">
        <v>-140.65927125000007</v>
      </c>
      <c r="J912" s="148">
        <v>0</v>
      </c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  <c r="AA912" s="57"/>
      <c r="AB912" s="57"/>
      <c r="AC912" s="57"/>
      <c r="AD912" s="57"/>
      <c r="AE912" s="57"/>
      <c r="AF912" s="57"/>
      <c r="AG912" s="57"/>
      <c r="AH912" s="57"/>
      <c r="AI912" s="57"/>
      <c r="AJ912" s="57"/>
      <c r="AK912" s="57"/>
      <c r="AL912" s="57"/>
      <c r="AM912" s="57"/>
      <c r="AN912" s="57"/>
      <c r="AO912" s="57"/>
      <c r="AP912" s="57"/>
      <c r="AQ912" s="57"/>
      <c r="AR912" s="57"/>
      <c r="AS912" s="57"/>
      <c r="AT912" s="57"/>
      <c r="AU912" s="58">
        <f t="shared" si="14"/>
        <v>-140.65927125000007</v>
      </c>
      <c r="AV912" s="58"/>
    </row>
    <row r="913" spans="1:48" ht="13.5" customHeight="1">
      <c r="A913" s="82">
        <v>911</v>
      </c>
      <c r="B913" s="85">
        <v>933</v>
      </c>
      <c r="C913" s="85" t="s">
        <v>39</v>
      </c>
      <c r="D913" s="175">
        <v>-105.96990000000005</v>
      </c>
      <c r="F913" s="45">
        <v>882</v>
      </c>
      <c r="G913" s="45">
        <v>934.30866000000015</v>
      </c>
      <c r="H913" s="56">
        <v>-89.969900000000052</v>
      </c>
      <c r="I913" s="56">
        <v>-89.969900000000052</v>
      </c>
      <c r="J913" s="148">
        <v>0</v>
      </c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  <c r="AA913" s="57"/>
      <c r="AB913" s="57"/>
      <c r="AC913" s="57"/>
      <c r="AD913" s="57"/>
      <c r="AE913" s="57"/>
      <c r="AF913" s="57"/>
      <c r="AG913" s="57"/>
      <c r="AH913" s="57"/>
      <c r="AI913" s="57"/>
      <c r="AJ913" s="57"/>
      <c r="AK913" s="57"/>
      <c r="AL913" s="57"/>
      <c r="AM913" s="57"/>
      <c r="AN913" s="57">
        <v>16</v>
      </c>
      <c r="AO913" s="57"/>
      <c r="AP913" s="57"/>
      <c r="AQ913" s="57"/>
      <c r="AR913" s="57"/>
      <c r="AS913" s="57"/>
      <c r="AT913" s="57"/>
      <c r="AU913" s="58">
        <f t="shared" si="14"/>
        <v>-105.96990000000005</v>
      </c>
      <c r="AV913" s="58"/>
    </row>
    <row r="914" spans="1:48" ht="13.5" customHeight="1">
      <c r="A914" s="84">
        <v>912</v>
      </c>
      <c r="B914" s="85">
        <v>934</v>
      </c>
      <c r="C914" s="85" t="s">
        <v>39</v>
      </c>
      <c r="D914" s="175">
        <v>-150.34700000000018</v>
      </c>
      <c r="F914" s="45">
        <v>882</v>
      </c>
      <c r="G914" s="45">
        <v>896.89408000000003</v>
      </c>
      <c r="H914" s="56">
        <v>-8.0170000000001664</v>
      </c>
      <c r="I914" s="56">
        <v>-8.0170000000001664</v>
      </c>
      <c r="J914" s="148">
        <v>0</v>
      </c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  <c r="AA914" s="57"/>
      <c r="AB914" s="57"/>
      <c r="AC914" s="57"/>
      <c r="AD914" s="57"/>
      <c r="AE914" s="57"/>
      <c r="AF914" s="57"/>
      <c r="AG914" s="57"/>
      <c r="AH914" s="57"/>
      <c r="AI914" s="57"/>
      <c r="AJ914" s="57"/>
      <c r="AK914" s="57"/>
      <c r="AL914" s="57"/>
      <c r="AM914" s="57"/>
      <c r="AN914" s="57"/>
      <c r="AO914" s="57"/>
      <c r="AP914" s="57"/>
      <c r="AQ914" s="57"/>
      <c r="AR914" s="57"/>
      <c r="AS914" s="57">
        <v>142.33000000000001</v>
      </c>
      <c r="AT914" s="57"/>
      <c r="AU914" s="58">
        <f t="shared" si="14"/>
        <v>-150.34700000000018</v>
      </c>
      <c r="AV914" s="58"/>
    </row>
    <row r="915" spans="1:48" ht="13.5" customHeight="1">
      <c r="A915" s="84">
        <v>913</v>
      </c>
      <c r="B915" s="85">
        <v>935</v>
      </c>
      <c r="C915" s="85" t="s">
        <v>39</v>
      </c>
      <c r="D915" s="175">
        <v>-51.347459999999955</v>
      </c>
      <c r="F915" s="45">
        <v>882</v>
      </c>
      <c r="G915" s="45">
        <v>808.63890000000004</v>
      </c>
      <c r="H915" s="56">
        <v>26.652540000000045</v>
      </c>
      <c r="I915" s="56">
        <v>26.652540000000045</v>
      </c>
      <c r="J915" s="148">
        <v>0</v>
      </c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  <c r="AA915" s="57"/>
      <c r="AB915" s="57"/>
      <c r="AC915" s="57"/>
      <c r="AD915" s="57"/>
      <c r="AE915" s="57"/>
      <c r="AF915" s="57"/>
      <c r="AG915" s="57"/>
      <c r="AH915" s="57"/>
      <c r="AI915" s="57"/>
      <c r="AJ915" s="57"/>
      <c r="AK915" s="57"/>
      <c r="AL915" s="57"/>
      <c r="AM915" s="57"/>
      <c r="AN915" s="57"/>
      <c r="AO915" s="57"/>
      <c r="AP915" s="57"/>
      <c r="AQ915" s="57"/>
      <c r="AR915" s="57">
        <v>78</v>
      </c>
      <c r="AS915" s="57"/>
      <c r="AT915" s="57"/>
      <c r="AU915" s="58">
        <f t="shared" si="14"/>
        <v>-51.347459999999955</v>
      </c>
      <c r="AV915" s="58"/>
    </row>
    <row r="916" spans="1:48" ht="13.5" customHeight="1">
      <c r="A916" s="82">
        <v>914</v>
      </c>
      <c r="B916" s="85">
        <v>939</v>
      </c>
      <c r="C916" s="85" t="s">
        <v>39</v>
      </c>
      <c r="D916" s="175">
        <v>-44</v>
      </c>
      <c r="F916" s="45">
        <v>882</v>
      </c>
      <c r="G916" s="45">
        <v>910.72400000000016</v>
      </c>
      <c r="H916" s="56">
        <v>-44</v>
      </c>
      <c r="I916" s="56">
        <v>-44</v>
      </c>
      <c r="J916" s="148">
        <v>0</v>
      </c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  <c r="AA916" s="57"/>
      <c r="AB916" s="57"/>
      <c r="AC916" s="57"/>
      <c r="AD916" s="57"/>
      <c r="AE916" s="57"/>
      <c r="AF916" s="57"/>
      <c r="AG916" s="57"/>
      <c r="AH916" s="57"/>
      <c r="AI916" s="57"/>
      <c r="AJ916" s="57"/>
      <c r="AK916" s="57"/>
      <c r="AL916" s="57"/>
      <c r="AM916" s="57"/>
      <c r="AN916" s="57"/>
      <c r="AO916" s="57"/>
      <c r="AP916" s="57"/>
      <c r="AQ916" s="57"/>
      <c r="AR916" s="57"/>
      <c r="AS916" s="57"/>
      <c r="AT916" s="57"/>
      <c r="AU916" s="58">
        <f t="shared" si="14"/>
        <v>-44</v>
      </c>
      <c r="AV916" s="58"/>
    </row>
    <row r="917" spans="1:48" ht="13.5" customHeight="1">
      <c r="A917" s="84">
        <v>915</v>
      </c>
      <c r="B917" s="85">
        <v>940</v>
      </c>
      <c r="C917" s="85" t="s">
        <v>39</v>
      </c>
      <c r="D917" s="175">
        <v>-380.22</v>
      </c>
      <c r="F917" s="45">
        <v>350</v>
      </c>
      <c r="G917" s="45">
        <v>303.61781999999999</v>
      </c>
      <c r="H917" s="56">
        <v>-62.720000000000027</v>
      </c>
      <c r="I917" s="56">
        <v>-62.720000000000027</v>
      </c>
      <c r="J917" s="148">
        <v>0</v>
      </c>
      <c r="K917" s="57"/>
      <c r="L917" s="57"/>
      <c r="M917" s="57">
        <v>300</v>
      </c>
      <c r="N917" s="57"/>
      <c r="O917" s="57"/>
      <c r="P917" s="57"/>
      <c r="Q917" s="57"/>
      <c r="R917" s="57"/>
      <c r="S917" s="57"/>
      <c r="T917" s="57"/>
      <c r="U917" s="57"/>
      <c r="V917" s="57"/>
      <c r="W917" s="57">
        <v>17.5</v>
      </c>
      <c r="X917" s="57"/>
      <c r="Y917" s="57"/>
      <c r="Z917" s="57"/>
      <c r="AA917" s="57"/>
      <c r="AB917" s="57"/>
      <c r="AC917" s="57"/>
      <c r="AD917" s="57"/>
      <c r="AE917" s="57"/>
      <c r="AF917" s="57"/>
      <c r="AG917" s="57"/>
      <c r="AH917" s="57"/>
      <c r="AI917" s="57"/>
      <c r="AJ917" s="57"/>
      <c r="AK917" s="57"/>
      <c r="AL917" s="57"/>
      <c r="AM917" s="57"/>
      <c r="AN917" s="57"/>
      <c r="AO917" s="57"/>
      <c r="AP917" s="57"/>
      <c r="AQ917" s="57"/>
      <c r="AR917" s="57"/>
      <c r="AS917" s="57"/>
      <c r="AT917" s="57"/>
      <c r="AU917" s="58">
        <f t="shared" si="14"/>
        <v>-380.22</v>
      </c>
      <c r="AV917" s="58"/>
    </row>
    <row r="918" spans="1:48" ht="13.5" customHeight="1">
      <c r="A918" s="82">
        <v>916</v>
      </c>
      <c r="B918" s="85">
        <v>941</v>
      </c>
      <c r="C918" s="85" t="s">
        <v>39</v>
      </c>
      <c r="D918" s="175">
        <v>279.47040749999996</v>
      </c>
      <c r="F918" s="45">
        <v>250</v>
      </c>
      <c r="G918" s="45">
        <v>148.99837499999998</v>
      </c>
      <c r="H918" s="56">
        <v>279.47040749999996</v>
      </c>
      <c r="I918" s="56">
        <v>279.47040749999996</v>
      </c>
      <c r="J918" s="148">
        <v>0</v>
      </c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  <c r="AA918" s="57"/>
      <c r="AB918" s="57"/>
      <c r="AC918" s="57"/>
      <c r="AD918" s="57"/>
      <c r="AE918" s="57"/>
      <c r="AF918" s="57"/>
      <c r="AG918" s="57"/>
      <c r="AH918" s="57"/>
      <c r="AI918" s="57"/>
      <c r="AJ918" s="57"/>
      <c r="AK918" s="57"/>
      <c r="AL918" s="57"/>
      <c r="AM918" s="57"/>
      <c r="AN918" s="57"/>
      <c r="AO918" s="57"/>
      <c r="AP918" s="57"/>
      <c r="AQ918" s="57"/>
      <c r="AR918" s="57"/>
      <c r="AS918" s="57"/>
      <c r="AT918" s="57"/>
      <c r="AU918" s="58">
        <f t="shared" si="14"/>
        <v>279.47040749999996</v>
      </c>
      <c r="AV918" s="58"/>
    </row>
    <row r="919" spans="1:48" ht="13.5" customHeight="1">
      <c r="A919" s="84">
        <v>917</v>
      </c>
      <c r="B919" s="85">
        <v>942</v>
      </c>
      <c r="C919" s="85" t="s">
        <v>39</v>
      </c>
      <c r="D919" s="175">
        <v>-1.8763999999999896</v>
      </c>
      <c r="F919" s="45">
        <v>350</v>
      </c>
      <c r="G919" s="45">
        <v>225.61536000000004</v>
      </c>
      <c r="H919" s="56">
        <v>-1.8763999999999896</v>
      </c>
      <c r="I919" s="56">
        <v>-1.8763999999999896</v>
      </c>
      <c r="J919" s="148">
        <v>0</v>
      </c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  <c r="AA919" s="57"/>
      <c r="AB919" s="57"/>
      <c r="AC919" s="57"/>
      <c r="AD919" s="57"/>
      <c r="AE919" s="57"/>
      <c r="AF919" s="57"/>
      <c r="AG919" s="57"/>
      <c r="AH919" s="57"/>
      <c r="AI919" s="57"/>
      <c r="AJ919" s="57"/>
      <c r="AK919" s="57"/>
      <c r="AL919" s="57"/>
      <c r="AM919" s="57"/>
      <c r="AN919" s="57"/>
      <c r="AO919" s="57"/>
      <c r="AP919" s="57"/>
      <c r="AQ919" s="57"/>
      <c r="AR919" s="57"/>
      <c r="AS919" s="57"/>
      <c r="AT919" s="57"/>
      <c r="AU919" s="58">
        <f t="shared" si="14"/>
        <v>-1.8763999999999896</v>
      </c>
      <c r="AV919" s="58"/>
    </row>
    <row r="920" spans="1:48" ht="13.5" customHeight="1">
      <c r="A920" s="84">
        <v>918</v>
      </c>
      <c r="B920" s="85">
        <v>943</v>
      </c>
      <c r="C920" s="85" t="s">
        <v>39</v>
      </c>
      <c r="D920" s="175">
        <v>35.785100000000057</v>
      </c>
      <c r="F920" s="45">
        <v>882</v>
      </c>
      <c r="G920" s="45">
        <v>681.88337999999999</v>
      </c>
      <c r="H920" s="56">
        <v>225.78510000000006</v>
      </c>
      <c r="I920" s="56">
        <v>225.78510000000006</v>
      </c>
      <c r="J920" s="148">
        <v>0</v>
      </c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>
        <v>120</v>
      </c>
      <c r="Z920" s="57"/>
      <c r="AA920" s="57"/>
      <c r="AB920" s="57"/>
      <c r="AC920" s="57"/>
      <c r="AD920" s="57"/>
      <c r="AE920" s="57"/>
      <c r="AF920" s="57"/>
      <c r="AG920" s="57"/>
      <c r="AH920" s="57"/>
      <c r="AI920" s="57"/>
      <c r="AJ920" s="57"/>
      <c r="AK920" s="57"/>
      <c r="AL920" s="57"/>
      <c r="AM920" s="57"/>
      <c r="AN920" s="57"/>
      <c r="AO920" s="57"/>
      <c r="AP920" s="57"/>
      <c r="AQ920" s="57"/>
      <c r="AR920" s="57">
        <v>70</v>
      </c>
      <c r="AS920" s="57"/>
      <c r="AT920" s="57"/>
      <c r="AU920" s="58">
        <f t="shared" si="14"/>
        <v>35.785100000000057</v>
      </c>
      <c r="AV920" s="58"/>
    </row>
    <row r="921" spans="1:48" ht="13.5" customHeight="1">
      <c r="A921" s="82">
        <v>919</v>
      </c>
      <c r="B921" s="85">
        <v>944</v>
      </c>
      <c r="C921" s="85" t="s">
        <v>39</v>
      </c>
      <c r="D921" s="175">
        <v>-515.21540000000005</v>
      </c>
      <c r="F921" s="45">
        <v>250</v>
      </c>
      <c r="G921" s="45">
        <v>140.00909999999999</v>
      </c>
      <c r="H921" s="56">
        <v>-190.21540000000005</v>
      </c>
      <c r="I921" s="56">
        <v>9.7845999999999549</v>
      </c>
      <c r="J921" s="148">
        <v>200</v>
      </c>
      <c r="K921" s="57"/>
      <c r="L921" s="57">
        <v>200</v>
      </c>
      <c r="M921" s="57"/>
      <c r="N921" s="57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  <c r="AA921" s="57"/>
      <c r="AB921" s="57"/>
      <c r="AC921" s="57"/>
      <c r="AD921" s="57"/>
      <c r="AE921" s="57"/>
      <c r="AF921" s="57"/>
      <c r="AG921" s="57"/>
      <c r="AH921" s="57"/>
      <c r="AI921" s="57">
        <v>125</v>
      </c>
      <c r="AJ921" s="57"/>
      <c r="AK921" s="57"/>
      <c r="AL921" s="57"/>
      <c r="AM921" s="57"/>
      <c r="AN921" s="57"/>
      <c r="AO921" s="57"/>
      <c r="AP921" s="57"/>
      <c r="AQ921" s="57"/>
      <c r="AR921" s="57"/>
      <c r="AS921" s="57"/>
      <c r="AT921" s="57"/>
      <c r="AU921" s="58">
        <f t="shared" si="14"/>
        <v>-515.21540000000005</v>
      </c>
      <c r="AV921" s="58"/>
    </row>
    <row r="922" spans="1:48" ht="13.5" customHeight="1">
      <c r="A922" s="84">
        <v>920</v>
      </c>
      <c r="B922" s="85">
        <v>945</v>
      </c>
      <c r="C922" s="85" t="s">
        <v>39</v>
      </c>
      <c r="D922" s="175">
        <v>-18</v>
      </c>
      <c r="F922" s="45">
        <v>560</v>
      </c>
      <c r="G922" s="45">
        <v>587.67199999999991</v>
      </c>
      <c r="H922" s="56">
        <v>-18</v>
      </c>
      <c r="I922" s="56">
        <v>-18</v>
      </c>
      <c r="J922" s="148">
        <v>0</v>
      </c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  <c r="AA922" s="57"/>
      <c r="AB922" s="57"/>
      <c r="AC922" s="57"/>
      <c r="AD922" s="57"/>
      <c r="AE922" s="57"/>
      <c r="AF922" s="57"/>
      <c r="AG922" s="57"/>
      <c r="AH922" s="57"/>
      <c r="AI922" s="57"/>
      <c r="AJ922" s="57"/>
      <c r="AK922" s="57"/>
      <c r="AL922" s="57"/>
      <c r="AM922" s="57"/>
      <c r="AN922" s="57"/>
      <c r="AO922" s="57"/>
      <c r="AP922" s="57"/>
      <c r="AQ922" s="57"/>
      <c r="AR922" s="57"/>
      <c r="AS922" s="57"/>
      <c r="AT922" s="57"/>
      <c r="AU922" s="58">
        <f t="shared" si="14"/>
        <v>-18</v>
      </c>
      <c r="AV922" s="58"/>
    </row>
    <row r="923" spans="1:48" ht="13.5" customHeight="1">
      <c r="A923" s="82">
        <v>921</v>
      </c>
      <c r="B923" s="85">
        <v>947</v>
      </c>
      <c r="C923" s="85" t="s">
        <v>39</v>
      </c>
      <c r="D923" s="175">
        <v>348.096</v>
      </c>
      <c r="F923" s="45">
        <v>560</v>
      </c>
      <c r="G923" s="45">
        <v>182.94069999594001</v>
      </c>
      <c r="H923" s="56">
        <v>406.89600000000002</v>
      </c>
      <c r="I923" s="56">
        <v>406.89600000000002</v>
      </c>
      <c r="J923" s="148">
        <v>0</v>
      </c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  <c r="AA923" s="57"/>
      <c r="AB923" s="57"/>
      <c r="AC923" s="57"/>
      <c r="AD923" s="57"/>
      <c r="AE923" s="57"/>
      <c r="AF923" s="57"/>
      <c r="AG923" s="57"/>
      <c r="AH923" s="57"/>
      <c r="AI923" s="57">
        <v>58.8</v>
      </c>
      <c r="AJ923" s="57"/>
      <c r="AK923" s="57"/>
      <c r="AL923" s="57"/>
      <c r="AM923" s="57"/>
      <c r="AN923" s="57"/>
      <c r="AO923" s="57"/>
      <c r="AP923" s="57"/>
      <c r="AQ923" s="57"/>
      <c r="AR923" s="57"/>
      <c r="AS923" s="57"/>
      <c r="AT923" s="57"/>
      <c r="AU923" s="58">
        <f t="shared" si="14"/>
        <v>348.096</v>
      </c>
      <c r="AV923" s="58"/>
    </row>
    <row r="924" spans="1:48" ht="13.5" customHeight="1">
      <c r="A924" s="84">
        <v>922</v>
      </c>
      <c r="B924" s="85">
        <v>948</v>
      </c>
      <c r="C924" s="85" t="s">
        <v>39</v>
      </c>
      <c r="D924" s="175">
        <v>135.35249999999999</v>
      </c>
      <c r="F924" s="45">
        <v>400</v>
      </c>
      <c r="G924" s="45">
        <v>73.95</v>
      </c>
      <c r="H924" s="56">
        <v>235.35249999999999</v>
      </c>
      <c r="I924" s="56">
        <v>235.35249999999999</v>
      </c>
      <c r="J924" s="148">
        <v>0</v>
      </c>
      <c r="K924" s="57"/>
      <c r="L924" s="57"/>
      <c r="M924" s="57"/>
      <c r="N924" s="57"/>
      <c r="O924" s="57"/>
      <c r="P924" s="57"/>
      <c r="Q924" s="57"/>
      <c r="R924" s="57"/>
      <c r="S924" s="57"/>
      <c r="T924" s="57">
        <v>100</v>
      </c>
      <c r="U924" s="57"/>
      <c r="V924" s="57"/>
      <c r="W924" s="57"/>
      <c r="X924" s="57"/>
      <c r="Y924" s="57"/>
      <c r="Z924" s="57"/>
      <c r="AA924" s="57"/>
      <c r="AB924" s="57"/>
      <c r="AC924" s="57"/>
      <c r="AD924" s="57"/>
      <c r="AE924" s="57"/>
      <c r="AF924" s="57"/>
      <c r="AG924" s="57"/>
      <c r="AH924" s="57"/>
      <c r="AI924" s="57"/>
      <c r="AJ924" s="57"/>
      <c r="AK924" s="57"/>
      <c r="AL924" s="57"/>
      <c r="AM924" s="57"/>
      <c r="AN924" s="57"/>
      <c r="AO924" s="57"/>
      <c r="AP924" s="57"/>
      <c r="AQ924" s="57"/>
      <c r="AR924" s="57"/>
      <c r="AS924" s="57"/>
      <c r="AT924" s="57"/>
      <c r="AU924" s="58">
        <f t="shared" si="14"/>
        <v>135.35249999999999</v>
      </c>
      <c r="AV924" s="58"/>
    </row>
    <row r="925" spans="1:48" ht="13.5" customHeight="1">
      <c r="A925" s="84">
        <v>923</v>
      </c>
      <c r="B925" s="85">
        <v>949</v>
      </c>
      <c r="C925" s="85" t="s">
        <v>39</v>
      </c>
      <c r="D925" s="175">
        <v>-150.56145999999995</v>
      </c>
      <c r="F925" s="45">
        <v>560</v>
      </c>
      <c r="G925" s="45">
        <v>603.32799999999997</v>
      </c>
      <c r="H925" s="56">
        <v>-125.56145999999995</v>
      </c>
      <c r="I925" s="56">
        <v>-125.56145999999995</v>
      </c>
      <c r="J925" s="148">
        <v>0</v>
      </c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  <c r="AA925" s="57"/>
      <c r="AB925" s="57"/>
      <c r="AC925" s="57"/>
      <c r="AD925" s="57"/>
      <c r="AE925" s="57"/>
      <c r="AF925" s="57"/>
      <c r="AG925" s="57">
        <v>25</v>
      </c>
      <c r="AH925" s="57"/>
      <c r="AI925" s="57"/>
      <c r="AJ925" s="57"/>
      <c r="AK925" s="57"/>
      <c r="AL925" s="57"/>
      <c r="AM925" s="57"/>
      <c r="AN925" s="57"/>
      <c r="AO925" s="57"/>
      <c r="AP925" s="57"/>
      <c r="AQ925" s="57"/>
      <c r="AR925" s="57"/>
      <c r="AS925" s="57"/>
      <c r="AT925" s="57"/>
      <c r="AU925" s="58">
        <f t="shared" si="14"/>
        <v>-150.56145999999995</v>
      </c>
      <c r="AV925" s="58"/>
    </row>
    <row r="926" spans="1:48" ht="13.5" customHeight="1">
      <c r="A926" s="82">
        <v>924</v>
      </c>
      <c r="B926" s="85">
        <v>950</v>
      </c>
      <c r="C926" s="85" t="s">
        <v>39</v>
      </c>
      <c r="D926" s="175">
        <v>388.80324000000007</v>
      </c>
      <c r="F926" s="45">
        <v>560</v>
      </c>
      <c r="G926" s="45">
        <v>136.465</v>
      </c>
      <c r="H926" s="56">
        <v>388.80324000000007</v>
      </c>
      <c r="I926" s="56">
        <v>388.80324000000007</v>
      </c>
      <c r="J926" s="148">
        <v>0</v>
      </c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  <c r="AA926" s="57"/>
      <c r="AB926" s="57"/>
      <c r="AC926" s="57"/>
      <c r="AD926" s="57"/>
      <c r="AE926" s="57"/>
      <c r="AF926" s="57"/>
      <c r="AG926" s="57"/>
      <c r="AH926" s="57"/>
      <c r="AI926" s="57"/>
      <c r="AJ926" s="57"/>
      <c r="AK926" s="57"/>
      <c r="AL926" s="57"/>
      <c r="AM926" s="57"/>
      <c r="AN926" s="57"/>
      <c r="AO926" s="57"/>
      <c r="AP926" s="57"/>
      <c r="AQ926" s="57"/>
      <c r="AR926" s="57"/>
      <c r="AS926" s="57"/>
      <c r="AT926" s="57"/>
      <c r="AU926" s="58">
        <f t="shared" si="14"/>
        <v>388.80324000000007</v>
      </c>
      <c r="AV926" s="58"/>
    </row>
    <row r="927" spans="1:48" ht="13.5" customHeight="1">
      <c r="A927" s="84">
        <v>925</v>
      </c>
      <c r="B927" s="85">
        <v>951</v>
      </c>
      <c r="C927" s="85" t="s">
        <v>39</v>
      </c>
      <c r="D927" s="175">
        <v>-260</v>
      </c>
      <c r="F927" s="45">
        <v>560</v>
      </c>
      <c r="G927" s="45">
        <v>407.16</v>
      </c>
      <c r="H927" s="56">
        <v>-60</v>
      </c>
      <c r="I927" s="56">
        <v>-60</v>
      </c>
      <c r="J927" s="148">
        <v>0</v>
      </c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  <c r="AA927" s="57"/>
      <c r="AB927" s="57"/>
      <c r="AC927" s="57"/>
      <c r="AD927" s="57"/>
      <c r="AE927" s="57"/>
      <c r="AF927" s="57"/>
      <c r="AG927" s="57"/>
      <c r="AH927" s="57"/>
      <c r="AI927" s="57"/>
      <c r="AJ927" s="57"/>
      <c r="AK927" s="57">
        <v>100</v>
      </c>
      <c r="AL927" s="57">
        <v>100</v>
      </c>
      <c r="AM927" s="57"/>
      <c r="AN927" s="57"/>
      <c r="AO927" s="57"/>
      <c r="AP927" s="57"/>
      <c r="AQ927" s="57"/>
      <c r="AR927" s="57"/>
      <c r="AS927" s="57"/>
      <c r="AT927" s="57"/>
      <c r="AU927" s="58">
        <f t="shared" si="14"/>
        <v>-260</v>
      </c>
      <c r="AV927" s="58"/>
    </row>
    <row r="928" spans="1:48" ht="13.5" customHeight="1">
      <c r="A928" s="82">
        <v>926</v>
      </c>
      <c r="B928" s="85">
        <v>952</v>
      </c>
      <c r="C928" s="85" t="s">
        <v>39</v>
      </c>
      <c r="D928" s="175">
        <v>-383.32</v>
      </c>
      <c r="F928" s="45">
        <v>882</v>
      </c>
      <c r="G928" s="45">
        <v>856.77599999999995</v>
      </c>
      <c r="H928" s="56">
        <v>-212.5</v>
      </c>
      <c r="I928" s="56">
        <v>-212.5</v>
      </c>
      <c r="J928" s="148">
        <v>0</v>
      </c>
      <c r="K928" s="57"/>
      <c r="L928" s="57"/>
      <c r="M928" s="57">
        <v>36.72</v>
      </c>
      <c r="N928" s="57"/>
      <c r="O928" s="57"/>
      <c r="P928" s="57">
        <v>74.099999999999994</v>
      </c>
      <c r="Q928" s="57"/>
      <c r="R928" s="57"/>
      <c r="S928" s="57"/>
      <c r="T928" s="57"/>
      <c r="U928" s="57"/>
      <c r="V928" s="57"/>
      <c r="W928" s="57"/>
      <c r="X928" s="57"/>
      <c r="Y928" s="57"/>
      <c r="Z928" s="57"/>
      <c r="AA928" s="57"/>
      <c r="AB928" s="57">
        <v>60</v>
      </c>
      <c r="AC928" s="57"/>
      <c r="AD928" s="57"/>
      <c r="AE928" s="57"/>
      <c r="AF928" s="57"/>
      <c r="AG928" s="57"/>
      <c r="AH928" s="57"/>
      <c r="AI928" s="57"/>
      <c r="AJ928" s="57"/>
      <c r="AK928" s="57"/>
      <c r="AL928" s="57"/>
      <c r="AM928" s="57"/>
      <c r="AN928" s="57"/>
      <c r="AO928" s="57"/>
      <c r="AP928" s="57"/>
      <c r="AQ928" s="57"/>
      <c r="AR928" s="57"/>
      <c r="AS928" s="57"/>
      <c r="AT928" s="57"/>
      <c r="AU928" s="58">
        <f t="shared" si="14"/>
        <v>-383.32</v>
      </c>
      <c r="AV928" s="58"/>
    </row>
    <row r="929" spans="1:48" ht="13.5" customHeight="1">
      <c r="A929" s="84">
        <v>927</v>
      </c>
      <c r="B929" s="85">
        <v>954</v>
      </c>
      <c r="C929" s="85" t="s">
        <v>39</v>
      </c>
      <c r="D929" s="175">
        <v>193</v>
      </c>
      <c r="F929" s="45">
        <v>882</v>
      </c>
      <c r="G929" s="45">
        <v>995.81</v>
      </c>
      <c r="H929" s="56">
        <v>263</v>
      </c>
      <c r="I929" s="56">
        <v>263</v>
      </c>
      <c r="J929" s="148">
        <v>0</v>
      </c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  <c r="AA929" s="57"/>
      <c r="AB929" s="57"/>
      <c r="AC929" s="57"/>
      <c r="AD929" s="57"/>
      <c r="AE929" s="57"/>
      <c r="AF929" s="57"/>
      <c r="AG929" s="57"/>
      <c r="AH929" s="57"/>
      <c r="AI929" s="57"/>
      <c r="AJ929" s="57"/>
      <c r="AK929" s="57"/>
      <c r="AL929" s="57"/>
      <c r="AM929" s="57"/>
      <c r="AN929" s="57"/>
      <c r="AO929" s="57"/>
      <c r="AP929" s="57"/>
      <c r="AQ929" s="57"/>
      <c r="AR929" s="57"/>
      <c r="AS929" s="57">
        <v>70</v>
      </c>
      <c r="AT929" s="57"/>
      <c r="AU929" s="58">
        <f t="shared" si="14"/>
        <v>193</v>
      </c>
      <c r="AV929" s="58"/>
    </row>
    <row r="930" spans="1:48" ht="13.5" customHeight="1">
      <c r="A930" s="84">
        <v>928</v>
      </c>
      <c r="B930" s="85">
        <v>957</v>
      </c>
      <c r="C930" s="85" t="s">
        <v>39</v>
      </c>
      <c r="D930" s="175">
        <v>-77.95868500000006</v>
      </c>
      <c r="F930" s="45">
        <v>882</v>
      </c>
      <c r="G930" s="45">
        <v>925.50399999999991</v>
      </c>
      <c r="H930" s="56">
        <v>-17.95868500000006</v>
      </c>
      <c r="I930" s="56">
        <v>-17.95868500000006</v>
      </c>
      <c r="J930" s="148">
        <v>0</v>
      </c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  <c r="AA930" s="57">
        <v>60</v>
      </c>
      <c r="AB930" s="57"/>
      <c r="AC930" s="57"/>
      <c r="AD930" s="57"/>
      <c r="AE930" s="57"/>
      <c r="AF930" s="57"/>
      <c r="AG930" s="57"/>
      <c r="AH930" s="57"/>
      <c r="AI930" s="57"/>
      <c r="AJ930" s="57"/>
      <c r="AK930" s="57"/>
      <c r="AL930" s="57"/>
      <c r="AM930" s="57"/>
      <c r="AN930" s="57"/>
      <c r="AO930" s="57"/>
      <c r="AP930" s="57"/>
      <c r="AQ930" s="57"/>
      <c r="AR930" s="57"/>
      <c r="AS930" s="57"/>
      <c r="AT930" s="57"/>
      <c r="AU930" s="58">
        <f t="shared" si="14"/>
        <v>-77.95868500000006</v>
      </c>
      <c r="AV930" s="58"/>
    </row>
    <row r="931" spans="1:48" ht="13.5" customHeight="1">
      <c r="A931" s="82">
        <v>929</v>
      </c>
      <c r="B931" s="85">
        <v>958</v>
      </c>
      <c r="C931" s="85" t="s">
        <v>39</v>
      </c>
      <c r="D931" s="175">
        <v>-117</v>
      </c>
      <c r="F931" s="45">
        <v>882</v>
      </c>
      <c r="G931" s="45">
        <v>723.52679999999998</v>
      </c>
      <c r="H931" s="56">
        <v>-62</v>
      </c>
      <c r="I931" s="56">
        <v>-62</v>
      </c>
      <c r="J931" s="148">
        <v>0</v>
      </c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57">
        <v>55</v>
      </c>
      <c r="Y931" s="57"/>
      <c r="Z931" s="57"/>
      <c r="AA931" s="57"/>
      <c r="AB931" s="57"/>
      <c r="AC931" s="57"/>
      <c r="AD931" s="57"/>
      <c r="AE931" s="57"/>
      <c r="AF931" s="57"/>
      <c r="AG931" s="57"/>
      <c r="AH931" s="57"/>
      <c r="AI931" s="57"/>
      <c r="AJ931" s="57"/>
      <c r="AK931" s="57"/>
      <c r="AL931" s="57"/>
      <c r="AM931" s="57"/>
      <c r="AN931" s="57"/>
      <c r="AO931" s="57"/>
      <c r="AP931" s="57"/>
      <c r="AQ931" s="57"/>
      <c r="AR931" s="57"/>
      <c r="AS931" s="57"/>
      <c r="AT931" s="57"/>
      <c r="AU931" s="58">
        <f t="shared" si="14"/>
        <v>-117</v>
      </c>
      <c r="AV931" s="58"/>
    </row>
    <row r="932" spans="1:48" ht="13.5" customHeight="1">
      <c r="A932" s="84">
        <v>930</v>
      </c>
      <c r="B932" s="85">
        <v>960</v>
      </c>
      <c r="C932" s="85" t="s">
        <v>39</v>
      </c>
      <c r="D932" s="175">
        <v>36.673200000000065</v>
      </c>
      <c r="F932" s="45">
        <v>882</v>
      </c>
      <c r="G932" s="45">
        <v>613.68060000000014</v>
      </c>
      <c r="H932" s="56">
        <v>36.673200000000065</v>
      </c>
      <c r="I932" s="56">
        <v>36.673200000000065</v>
      </c>
      <c r="J932" s="148">
        <v>0</v>
      </c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  <c r="AA932" s="57"/>
      <c r="AB932" s="57"/>
      <c r="AC932" s="57"/>
      <c r="AD932" s="57"/>
      <c r="AE932" s="57"/>
      <c r="AF932" s="57"/>
      <c r="AG932" s="57"/>
      <c r="AH932" s="57"/>
      <c r="AI932" s="57"/>
      <c r="AJ932" s="57"/>
      <c r="AK932" s="57"/>
      <c r="AL932" s="57"/>
      <c r="AM932" s="57"/>
      <c r="AN932" s="57"/>
      <c r="AO932" s="57"/>
      <c r="AP932" s="57"/>
      <c r="AQ932" s="57"/>
      <c r="AR932" s="57"/>
      <c r="AS932" s="57"/>
      <c r="AT932" s="57"/>
      <c r="AU932" s="58">
        <f t="shared" si="14"/>
        <v>36.673200000000065</v>
      </c>
      <c r="AV932" s="58"/>
    </row>
    <row r="933" spans="1:48" ht="13.5" customHeight="1">
      <c r="A933" s="82">
        <v>931</v>
      </c>
      <c r="B933" s="85">
        <v>963</v>
      </c>
      <c r="C933" s="85" t="s">
        <v>39</v>
      </c>
      <c r="D933" s="175">
        <v>-6.5553599999999506</v>
      </c>
      <c r="F933" s="45">
        <v>882</v>
      </c>
      <c r="G933" s="45">
        <v>486.76599999999985</v>
      </c>
      <c r="H933" s="56">
        <v>-6.5553599999999506</v>
      </c>
      <c r="I933" s="56">
        <v>-6.5553599999999506</v>
      </c>
      <c r="J933" s="148">
        <v>0</v>
      </c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  <c r="AA933" s="57"/>
      <c r="AB933" s="57"/>
      <c r="AC933" s="57"/>
      <c r="AD933" s="57"/>
      <c r="AE933" s="57"/>
      <c r="AF933" s="57"/>
      <c r="AG933" s="57"/>
      <c r="AH933" s="57"/>
      <c r="AI933" s="57"/>
      <c r="AJ933" s="57"/>
      <c r="AK933" s="57"/>
      <c r="AL933" s="57"/>
      <c r="AM933" s="57"/>
      <c r="AN933" s="57"/>
      <c r="AO933" s="57"/>
      <c r="AP933" s="57"/>
      <c r="AQ933" s="57"/>
      <c r="AR933" s="57"/>
      <c r="AS933" s="57"/>
      <c r="AT933" s="57"/>
      <c r="AU933" s="58">
        <f t="shared" si="14"/>
        <v>-6.5553599999999506</v>
      </c>
      <c r="AV933" s="58"/>
    </row>
    <row r="934" spans="1:48" ht="13.5" customHeight="1">
      <c r="A934" s="84">
        <v>932</v>
      </c>
      <c r="B934" s="85">
        <v>964</v>
      </c>
      <c r="C934" s="85" t="s">
        <v>39</v>
      </c>
      <c r="D934" s="175">
        <v>276.23454000000004</v>
      </c>
      <c r="F934" s="45">
        <v>160</v>
      </c>
      <c r="G934" s="45">
        <v>111.36</v>
      </c>
      <c r="H934" s="56">
        <v>276.23454000000004</v>
      </c>
      <c r="I934" s="56">
        <v>276.23454000000004</v>
      </c>
      <c r="J934" s="148">
        <v>0</v>
      </c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  <c r="AA934" s="57"/>
      <c r="AB934" s="57"/>
      <c r="AC934" s="57"/>
      <c r="AD934" s="57"/>
      <c r="AE934" s="57"/>
      <c r="AF934" s="57"/>
      <c r="AG934" s="57"/>
      <c r="AH934" s="57"/>
      <c r="AI934" s="57"/>
      <c r="AJ934" s="57"/>
      <c r="AK934" s="57"/>
      <c r="AL934" s="57"/>
      <c r="AM934" s="57"/>
      <c r="AN934" s="57"/>
      <c r="AO934" s="57"/>
      <c r="AP934" s="57"/>
      <c r="AQ934" s="57"/>
      <c r="AR934" s="57"/>
      <c r="AS934" s="57"/>
      <c r="AT934" s="57"/>
      <c r="AU934" s="58">
        <f t="shared" si="14"/>
        <v>276.23454000000004</v>
      </c>
      <c r="AV934" s="58"/>
    </row>
    <row r="935" spans="1:48" ht="13.5" customHeight="1">
      <c r="A935" s="84">
        <v>933</v>
      </c>
      <c r="B935" s="85">
        <v>968</v>
      </c>
      <c r="C935" s="85" t="s">
        <v>39</v>
      </c>
      <c r="D935" s="175">
        <v>80.828917499999989</v>
      </c>
      <c r="F935" s="45">
        <v>180</v>
      </c>
      <c r="G935" s="45">
        <v>141.379785</v>
      </c>
      <c r="H935" s="56">
        <v>80.828917499999989</v>
      </c>
      <c r="I935" s="56">
        <v>80.828917499999989</v>
      </c>
      <c r="J935" s="148">
        <v>0</v>
      </c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  <c r="AA935" s="57"/>
      <c r="AB935" s="57"/>
      <c r="AC935" s="57"/>
      <c r="AD935" s="57"/>
      <c r="AE935" s="57"/>
      <c r="AF935" s="57"/>
      <c r="AG935" s="57"/>
      <c r="AH935" s="57"/>
      <c r="AI935" s="57"/>
      <c r="AJ935" s="57"/>
      <c r="AK935" s="57"/>
      <c r="AL935" s="57"/>
      <c r="AM935" s="57"/>
      <c r="AN935" s="57"/>
      <c r="AO935" s="57"/>
      <c r="AP935" s="57"/>
      <c r="AQ935" s="57"/>
      <c r="AR935" s="57"/>
      <c r="AS935" s="57"/>
      <c r="AT935" s="57"/>
      <c r="AU935" s="58">
        <f t="shared" si="14"/>
        <v>80.828917499999989</v>
      </c>
      <c r="AV935" s="58"/>
    </row>
    <row r="936" spans="1:48" ht="13.5" customHeight="1">
      <c r="A936" s="82">
        <v>934</v>
      </c>
      <c r="B936" s="85">
        <v>969</v>
      </c>
      <c r="C936" s="85" t="s">
        <v>39</v>
      </c>
      <c r="D936" s="175">
        <v>225.70342874999994</v>
      </c>
      <c r="F936" s="45">
        <v>250</v>
      </c>
      <c r="G936" s="45">
        <v>152.25</v>
      </c>
      <c r="H936" s="56">
        <v>225.70342874999994</v>
      </c>
      <c r="I936" s="56">
        <v>225.70342874999994</v>
      </c>
      <c r="J936" s="148">
        <v>0</v>
      </c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  <c r="AA936" s="57"/>
      <c r="AB936" s="57"/>
      <c r="AC936" s="57"/>
      <c r="AD936" s="57"/>
      <c r="AE936" s="57"/>
      <c r="AF936" s="57"/>
      <c r="AG936" s="57"/>
      <c r="AH936" s="57"/>
      <c r="AI936" s="57"/>
      <c r="AJ936" s="57"/>
      <c r="AK936" s="57"/>
      <c r="AL936" s="57"/>
      <c r="AM936" s="57"/>
      <c r="AN936" s="57"/>
      <c r="AO936" s="57"/>
      <c r="AP936" s="57"/>
      <c r="AQ936" s="57"/>
      <c r="AR936" s="57"/>
      <c r="AS936" s="57"/>
      <c r="AT936" s="57"/>
      <c r="AU936" s="58">
        <f t="shared" si="14"/>
        <v>225.70342874999994</v>
      </c>
      <c r="AV936" s="58"/>
    </row>
    <row r="937" spans="1:48" ht="13.5" customHeight="1">
      <c r="A937" s="84">
        <v>935</v>
      </c>
      <c r="B937" s="85">
        <v>972</v>
      </c>
      <c r="C937" s="85" t="s">
        <v>39</v>
      </c>
      <c r="D937" s="175">
        <v>234.5132000000001</v>
      </c>
      <c r="F937" s="45">
        <v>224</v>
      </c>
      <c r="G937" s="45">
        <v>274.63594499564999</v>
      </c>
      <c r="H937" s="56">
        <v>234.5132000000001</v>
      </c>
      <c r="I937" s="56">
        <v>234.5132000000001</v>
      </c>
      <c r="J937" s="148">
        <v>0</v>
      </c>
      <c r="K937" s="57"/>
      <c r="L937" s="57"/>
      <c r="M937" s="57"/>
      <c r="N937" s="57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  <c r="AA937" s="57"/>
      <c r="AB937" s="57"/>
      <c r="AC937" s="57"/>
      <c r="AD937" s="57"/>
      <c r="AE937" s="57"/>
      <c r="AF937" s="57"/>
      <c r="AG937" s="57"/>
      <c r="AH937" s="57"/>
      <c r="AI937" s="57"/>
      <c r="AJ937" s="57"/>
      <c r="AK937" s="57"/>
      <c r="AL937" s="57"/>
      <c r="AM937" s="57"/>
      <c r="AN937" s="57"/>
      <c r="AO937" s="57"/>
      <c r="AP937" s="57"/>
      <c r="AQ937" s="57"/>
      <c r="AR937" s="57"/>
      <c r="AS937" s="57"/>
      <c r="AT937" s="57"/>
      <c r="AU937" s="58">
        <f t="shared" si="14"/>
        <v>234.5132000000001</v>
      </c>
      <c r="AV937" s="58"/>
    </row>
    <row r="938" spans="1:48" ht="13.5" customHeight="1">
      <c r="A938" s="82">
        <v>936</v>
      </c>
      <c r="B938" s="85">
        <v>975</v>
      </c>
      <c r="C938" s="85" t="s">
        <v>39</v>
      </c>
      <c r="D938" s="175">
        <v>103.18729999999994</v>
      </c>
      <c r="F938" s="45">
        <v>250</v>
      </c>
      <c r="G938" s="45">
        <v>174</v>
      </c>
      <c r="H938" s="56">
        <v>143.18729999999994</v>
      </c>
      <c r="I938" s="56">
        <v>143.18729999999994</v>
      </c>
      <c r="J938" s="148">
        <v>0</v>
      </c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57"/>
      <c r="V938" s="57"/>
      <c r="W938" s="57"/>
      <c r="X938" s="57">
        <v>40</v>
      </c>
      <c r="Y938" s="57"/>
      <c r="Z938" s="57"/>
      <c r="AA938" s="57"/>
      <c r="AB938" s="57"/>
      <c r="AC938" s="57"/>
      <c r="AD938" s="57"/>
      <c r="AE938" s="57"/>
      <c r="AF938" s="57"/>
      <c r="AG938" s="57"/>
      <c r="AH938" s="57"/>
      <c r="AI938" s="57"/>
      <c r="AJ938" s="57"/>
      <c r="AK938" s="57"/>
      <c r="AL938" s="57"/>
      <c r="AM938" s="57"/>
      <c r="AN938" s="57"/>
      <c r="AO938" s="57"/>
      <c r="AP938" s="57"/>
      <c r="AQ938" s="57"/>
      <c r="AR938" s="57"/>
      <c r="AS938" s="57"/>
      <c r="AT938" s="57"/>
      <c r="AU938" s="58">
        <f t="shared" si="14"/>
        <v>103.18729999999994</v>
      </c>
      <c r="AV938" s="58"/>
    </row>
    <row r="939" spans="1:48" ht="13.5" customHeight="1">
      <c r="A939" s="84">
        <v>937</v>
      </c>
      <c r="B939" s="85">
        <v>976</v>
      </c>
      <c r="C939" s="85" t="s">
        <v>39</v>
      </c>
      <c r="D939" s="175">
        <v>-127.07971999999995</v>
      </c>
      <c r="F939" s="45">
        <v>400</v>
      </c>
      <c r="G939" s="45">
        <v>321.89999999999998</v>
      </c>
      <c r="H939" s="56">
        <v>107.92028000000005</v>
      </c>
      <c r="I939" s="56">
        <v>107.92028000000005</v>
      </c>
      <c r="J939" s="148">
        <v>0</v>
      </c>
      <c r="K939" s="57"/>
      <c r="L939" s="57"/>
      <c r="M939" s="57"/>
      <c r="N939" s="57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  <c r="AA939" s="57"/>
      <c r="AB939" s="57">
        <v>60</v>
      </c>
      <c r="AC939" s="57"/>
      <c r="AD939" s="57">
        <v>25</v>
      </c>
      <c r="AE939" s="57"/>
      <c r="AF939" s="57"/>
      <c r="AG939" s="57"/>
      <c r="AH939" s="57"/>
      <c r="AI939" s="57">
        <v>150</v>
      </c>
      <c r="AJ939" s="57"/>
      <c r="AK939" s="57"/>
      <c r="AL939" s="57"/>
      <c r="AM939" s="57"/>
      <c r="AN939" s="57"/>
      <c r="AO939" s="57"/>
      <c r="AP939" s="57"/>
      <c r="AQ939" s="57"/>
      <c r="AR939" s="57"/>
      <c r="AS939" s="57"/>
      <c r="AT939" s="57"/>
      <c r="AU939" s="58">
        <f t="shared" si="14"/>
        <v>-127.07971999999995</v>
      </c>
      <c r="AV939" s="58"/>
    </row>
    <row r="940" spans="1:48" ht="13.5" customHeight="1">
      <c r="A940" s="84">
        <v>938</v>
      </c>
      <c r="B940" s="85">
        <v>977</v>
      </c>
      <c r="C940" s="85" t="s">
        <v>39</v>
      </c>
      <c r="D940" s="175">
        <v>-281.31400000000008</v>
      </c>
      <c r="F940" s="45">
        <v>400</v>
      </c>
      <c r="G940" s="45">
        <v>311.02434750000003</v>
      </c>
      <c r="H940" s="56">
        <v>-81.314000000000078</v>
      </c>
      <c r="I940" s="56">
        <v>-81.314000000000078</v>
      </c>
      <c r="J940" s="148">
        <v>0</v>
      </c>
      <c r="K940" s="57"/>
      <c r="L940" s="57"/>
      <c r="M940" s="57"/>
      <c r="N940" s="57"/>
      <c r="O940" s="57"/>
      <c r="P940" s="57"/>
      <c r="Q940" s="57"/>
      <c r="R940" s="57"/>
      <c r="S940" s="57"/>
      <c r="T940" s="57"/>
      <c r="U940" s="57"/>
      <c r="V940" s="57"/>
      <c r="W940" s="57">
        <v>200</v>
      </c>
      <c r="X940" s="57"/>
      <c r="Y940" s="57"/>
      <c r="Z940" s="57"/>
      <c r="AA940" s="57"/>
      <c r="AB940" s="57"/>
      <c r="AC940" s="57"/>
      <c r="AD940" s="57"/>
      <c r="AE940" s="57"/>
      <c r="AF940" s="57"/>
      <c r="AG940" s="57"/>
      <c r="AH940" s="57"/>
      <c r="AI940" s="57"/>
      <c r="AJ940" s="57"/>
      <c r="AK940" s="57"/>
      <c r="AL940" s="57"/>
      <c r="AM940" s="57"/>
      <c r="AN940" s="57"/>
      <c r="AO940" s="57"/>
      <c r="AP940" s="57"/>
      <c r="AQ940" s="57"/>
      <c r="AR940" s="57"/>
      <c r="AS940" s="57"/>
      <c r="AT940" s="57"/>
      <c r="AU940" s="58">
        <f t="shared" si="14"/>
        <v>-281.31400000000008</v>
      </c>
      <c r="AV940" s="58"/>
    </row>
    <row r="941" spans="1:48" ht="13.5" customHeight="1">
      <c r="A941" s="82">
        <v>939</v>
      </c>
      <c r="B941" s="85">
        <v>978</v>
      </c>
      <c r="C941" s="85" t="s">
        <v>39</v>
      </c>
      <c r="D941" s="175">
        <v>-23.451379999999993</v>
      </c>
      <c r="F941" s="45">
        <v>560</v>
      </c>
      <c r="G941" s="45">
        <v>361.92</v>
      </c>
      <c r="H941" s="56">
        <v>-23.451379999999993</v>
      </c>
      <c r="I941" s="56">
        <v>-23.451379999999993</v>
      </c>
      <c r="J941" s="148">
        <v>0</v>
      </c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  <c r="AA941" s="57"/>
      <c r="AB941" s="57"/>
      <c r="AC941" s="57"/>
      <c r="AD941" s="57"/>
      <c r="AE941" s="57"/>
      <c r="AF941" s="57"/>
      <c r="AG941" s="57"/>
      <c r="AH941" s="57"/>
      <c r="AI941" s="57"/>
      <c r="AJ941" s="57"/>
      <c r="AK941" s="57"/>
      <c r="AL941" s="57"/>
      <c r="AM941" s="57"/>
      <c r="AN941" s="57"/>
      <c r="AO941" s="57"/>
      <c r="AP941" s="57"/>
      <c r="AQ941" s="57"/>
      <c r="AR941" s="57"/>
      <c r="AS941" s="57"/>
      <c r="AT941" s="57"/>
      <c r="AU941" s="58">
        <f t="shared" si="14"/>
        <v>-23.451379999999993</v>
      </c>
      <c r="AV941" s="58"/>
    </row>
    <row r="942" spans="1:48" ht="13.5" customHeight="1">
      <c r="A942" s="84">
        <v>940</v>
      </c>
      <c r="B942" s="85">
        <v>979</v>
      </c>
      <c r="C942" s="85" t="s">
        <v>39</v>
      </c>
      <c r="D942" s="175">
        <v>187.38</v>
      </c>
      <c r="F942" s="45">
        <v>400</v>
      </c>
      <c r="G942" s="45">
        <v>219.67500000000001</v>
      </c>
      <c r="H942" s="56">
        <v>203.38</v>
      </c>
      <c r="I942" s="56">
        <v>203.38</v>
      </c>
      <c r="J942" s="148">
        <v>0</v>
      </c>
      <c r="K942" s="57"/>
      <c r="L942" s="57"/>
      <c r="M942" s="57"/>
      <c r="N942" s="57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  <c r="AA942" s="57"/>
      <c r="AB942" s="57"/>
      <c r="AC942" s="57">
        <v>16</v>
      </c>
      <c r="AD942" s="57"/>
      <c r="AE942" s="57"/>
      <c r="AF942" s="57"/>
      <c r="AG942" s="57"/>
      <c r="AH942" s="57"/>
      <c r="AI942" s="57"/>
      <c r="AJ942" s="57"/>
      <c r="AK942" s="57"/>
      <c r="AL942" s="57"/>
      <c r="AM942" s="57"/>
      <c r="AN942" s="57"/>
      <c r="AO942" s="57"/>
      <c r="AP942" s="57"/>
      <c r="AQ942" s="57"/>
      <c r="AR942" s="57"/>
      <c r="AS942" s="57"/>
      <c r="AT942" s="57"/>
      <c r="AU942" s="58">
        <f t="shared" si="14"/>
        <v>187.38</v>
      </c>
      <c r="AV942" s="58"/>
    </row>
    <row r="943" spans="1:48" ht="13.5" customHeight="1">
      <c r="A943" s="82">
        <v>941</v>
      </c>
      <c r="B943" s="85">
        <v>981</v>
      </c>
      <c r="C943" s="85" t="s">
        <v>39</v>
      </c>
      <c r="D943" s="175">
        <v>-39.935999999999979</v>
      </c>
      <c r="F943" s="45">
        <v>250</v>
      </c>
      <c r="G943" s="45">
        <v>159.06645</v>
      </c>
      <c r="H943" s="56">
        <v>-39.935999999999979</v>
      </c>
      <c r="I943" s="56">
        <v>-39.935999999999979</v>
      </c>
      <c r="J943" s="148">
        <v>0</v>
      </c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  <c r="AA943" s="57"/>
      <c r="AB943" s="57"/>
      <c r="AC943" s="57"/>
      <c r="AD943" s="57"/>
      <c r="AE943" s="57"/>
      <c r="AF943" s="57"/>
      <c r="AG943" s="57"/>
      <c r="AH943" s="57"/>
      <c r="AI943" s="57"/>
      <c r="AJ943" s="57"/>
      <c r="AK943" s="57"/>
      <c r="AL943" s="57"/>
      <c r="AM943" s="57"/>
      <c r="AN943" s="57"/>
      <c r="AO943" s="57"/>
      <c r="AP943" s="57"/>
      <c r="AQ943" s="57"/>
      <c r="AR943" s="57"/>
      <c r="AS943" s="57"/>
      <c r="AT943" s="57"/>
      <c r="AU943" s="58">
        <f t="shared" si="14"/>
        <v>-39.935999999999979</v>
      </c>
      <c r="AV943" s="58"/>
    </row>
    <row r="944" spans="1:48" ht="13.5" customHeight="1">
      <c r="A944" s="84">
        <v>942</v>
      </c>
      <c r="B944" s="85">
        <v>982</v>
      </c>
      <c r="C944" s="85" t="s">
        <v>39</v>
      </c>
      <c r="D944" s="175">
        <v>310.74630500000001</v>
      </c>
      <c r="F944" s="45">
        <v>882</v>
      </c>
      <c r="G944" s="45">
        <v>210.24919999999997</v>
      </c>
      <c r="H944" s="56">
        <v>310.74630500000001</v>
      </c>
      <c r="I944" s="56">
        <v>310.74630500000001</v>
      </c>
      <c r="J944" s="148">
        <v>0</v>
      </c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  <c r="AA944" s="57"/>
      <c r="AB944" s="57"/>
      <c r="AC944" s="57"/>
      <c r="AD944" s="57"/>
      <c r="AE944" s="57"/>
      <c r="AF944" s="57"/>
      <c r="AG944" s="57"/>
      <c r="AH944" s="57"/>
      <c r="AI944" s="57"/>
      <c r="AJ944" s="57"/>
      <c r="AK944" s="57"/>
      <c r="AL944" s="57"/>
      <c r="AM944" s="57"/>
      <c r="AN944" s="57"/>
      <c r="AO944" s="57"/>
      <c r="AP944" s="57"/>
      <c r="AQ944" s="57"/>
      <c r="AR944" s="57"/>
      <c r="AS944" s="57"/>
      <c r="AT944" s="57"/>
      <c r="AU944" s="58">
        <f t="shared" si="14"/>
        <v>310.74630500000001</v>
      </c>
      <c r="AV944" s="58"/>
    </row>
    <row r="945" spans="1:48" ht="13.5" customHeight="1">
      <c r="A945" s="84">
        <v>943</v>
      </c>
      <c r="B945" s="85">
        <v>983</v>
      </c>
      <c r="C945" s="85" t="s">
        <v>39</v>
      </c>
      <c r="D945" s="175">
        <v>34.565240000000017</v>
      </c>
      <c r="F945" s="45">
        <v>400</v>
      </c>
      <c r="G945" s="45">
        <v>215.379288</v>
      </c>
      <c r="H945" s="56">
        <v>34.565240000000017</v>
      </c>
      <c r="I945" s="56">
        <v>34.565240000000017</v>
      </c>
      <c r="J945" s="148">
        <v>0</v>
      </c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  <c r="AA945" s="57"/>
      <c r="AB945" s="57"/>
      <c r="AC945" s="57"/>
      <c r="AD945" s="57"/>
      <c r="AE945" s="57"/>
      <c r="AF945" s="57"/>
      <c r="AG945" s="57"/>
      <c r="AH945" s="57"/>
      <c r="AI945" s="57"/>
      <c r="AJ945" s="57"/>
      <c r="AK945" s="57"/>
      <c r="AL945" s="57"/>
      <c r="AM945" s="57"/>
      <c r="AN945" s="57"/>
      <c r="AO945" s="57"/>
      <c r="AP945" s="57"/>
      <c r="AQ945" s="57"/>
      <c r="AR945" s="57"/>
      <c r="AS945" s="57"/>
      <c r="AT945" s="57"/>
      <c r="AU945" s="58">
        <f t="shared" si="14"/>
        <v>34.565240000000017</v>
      </c>
      <c r="AV945" s="58"/>
    </row>
    <row r="946" spans="1:48" ht="13.5" customHeight="1">
      <c r="A946" s="82">
        <v>944</v>
      </c>
      <c r="B946" s="85">
        <v>984</v>
      </c>
      <c r="C946" s="85" t="s">
        <v>39</v>
      </c>
      <c r="D946" s="175">
        <v>56.793700000000001</v>
      </c>
      <c r="F946" s="45">
        <v>882</v>
      </c>
      <c r="G946" s="45">
        <v>935.94599999999991</v>
      </c>
      <c r="H946" s="56">
        <v>56.793700000000001</v>
      </c>
      <c r="I946" s="56">
        <v>56.793700000000001</v>
      </c>
      <c r="J946" s="148">
        <v>0</v>
      </c>
      <c r="K946" s="57"/>
      <c r="L946" s="57"/>
      <c r="M946" s="57"/>
      <c r="N946" s="57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  <c r="AA946" s="57"/>
      <c r="AB946" s="57"/>
      <c r="AC946" s="57"/>
      <c r="AD946" s="57"/>
      <c r="AE946" s="57"/>
      <c r="AF946" s="57"/>
      <c r="AG946" s="57"/>
      <c r="AH946" s="57"/>
      <c r="AI946" s="57"/>
      <c r="AJ946" s="57"/>
      <c r="AK946" s="57"/>
      <c r="AL946" s="57"/>
      <c r="AM946" s="57"/>
      <c r="AN946" s="57"/>
      <c r="AO946" s="57"/>
      <c r="AP946" s="57"/>
      <c r="AQ946" s="57"/>
      <c r="AR946" s="57"/>
      <c r="AS946" s="57"/>
      <c r="AT946" s="57"/>
      <c r="AU946" s="58">
        <f t="shared" si="14"/>
        <v>56.793700000000001</v>
      </c>
      <c r="AV946" s="58"/>
    </row>
    <row r="947" spans="1:48" ht="13.5" customHeight="1">
      <c r="A947" s="84">
        <v>945</v>
      </c>
      <c r="B947" s="85">
        <v>985</v>
      </c>
      <c r="C947" s="85" t="s">
        <v>39</v>
      </c>
      <c r="D947" s="175">
        <v>21.286335000000008</v>
      </c>
      <c r="F947" s="45">
        <v>882</v>
      </c>
      <c r="G947" s="45">
        <v>499.31</v>
      </c>
      <c r="H947" s="56">
        <v>21.286335000000008</v>
      </c>
      <c r="I947" s="56">
        <v>21.286335000000008</v>
      </c>
      <c r="J947" s="148">
        <v>0</v>
      </c>
      <c r="K947" s="57"/>
      <c r="L947" s="57"/>
      <c r="M947" s="57"/>
      <c r="N947" s="57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  <c r="AA947" s="57"/>
      <c r="AB947" s="57"/>
      <c r="AC947" s="57"/>
      <c r="AD947" s="57"/>
      <c r="AE947" s="57"/>
      <c r="AF947" s="57"/>
      <c r="AG947" s="57"/>
      <c r="AH947" s="57"/>
      <c r="AI947" s="57"/>
      <c r="AJ947" s="57"/>
      <c r="AK947" s="57"/>
      <c r="AL947" s="57"/>
      <c r="AM947" s="57"/>
      <c r="AN947" s="57"/>
      <c r="AO947" s="57"/>
      <c r="AP947" s="57"/>
      <c r="AQ947" s="57"/>
      <c r="AR947" s="57"/>
      <c r="AS947" s="57"/>
      <c r="AT947" s="57"/>
      <c r="AU947" s="58">
        <f t="shared" si="14"/>
        <v>21.286335000000008</v>
      </c>
      <c r="AV947" s="58"/>
    </row>
    <row r="948" spans="1:48" ht="13.5" customHeight="1">
      <c r="A948" s="82">
        <v>946</v>
      </c>
      <c r="B948" s="85">
        <v>987</v>
      </c>
      <c r="C948" s="85" t="s">
        <v>39</v>
      </c>
      <c r="D948" s="175">
        <v>-46.535600000000066</v>
      </c>
      <c r="F948" s="45">
        <v>400</v>
      </c>
      <c r="G948" s="45">
        <v>149.54386500000001</v>
      </c>
      <c r="H948" s="56">
        <v>3.4643999999999324</v>
      </c>
      <c r="I948" s="56">
        <v>3.4643999999999324</v>
      </c>
      <c r="J948" s="148">
        <v>0</v>
      </c>
      <c r="K948" s="57"/>
      <c r="L948" s="57"/>
      <c r="M948" s="57"/>
      <c r="N948" s="57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  <c r="AA948" s="57"/>
      <c r="AB948" s="57"/>
      <c r="AC948" s="57"/>
      <c r="AD948" s="57"/>
      <c r="AE948" s="57"/>
      <c r="AF948" s="57"/>
      <c r="AG948" s="57"/>
      <c r="AH948" s="57"/>
      <c r="AI948" s="57"/>
      <c r="AJ948" s="57">
        <v>50</v>
      </c>
      <c r="AK948" s="57"/>
      <c r="AL948" s="57"/>
      <c r="AM948" s="57"/>
      <c r="AN948" s="57"/>
      <c r="AO948" s="57"/>
      <c r="AP948" s="57"/>
      <c r="AQ948" s="57"/>
      <c r="AR948" s="57"/>
      <c r="AS948" s="57"/>
      <c r="AT948" s="57"/>
      <c r="AU948" s="58">
        <f t="shared" si="14"/>
        <v>-46.535600000000066</v>
      </c>
      <c r="AV948" s="58"/>
    </row>
    <row r="949" spans="1:48" ht="13.5" customHeight="1">
      <c r="A949" s="84">
        <v>947</v>
      </c>
      <c r="B949" s="85">
        <v>988</v>
      </c>
      <c r="C949" s="85" t="s">
        <v>39</v>
      </c>
      <c r="D949" s="175">
        <v>-48.543900000000008</v>
      </c>
      <c r="F949" s="45">
        <v>400</v>
      </c>
      <c r="G949" s="45">
        <v>278.39999999999998</v>
      </c>
      <c r="H949" s="56">
        <v>-18.543900000000008</v>
      </c>
      <c r="I949" s="56">
        <v>-18.543900000000008</v>
      </c>
      <c r="J949" s="148">
        <v>0</v>
      </c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  <c r="AA949" s="57">
        <v>30</v>
      </c>
      <c r="AB949" s="57"/>
      <c r="AC949" s="57"/>
      <c r="AD949" s="57"/>
      <c r="AE949" s="57"/>
      <c r="AF949" s="57"/>
      <c r="AG949" s="57"/>
      <c r="AH949" s="57"/>
      <c r="AI949" s="57"/>
      <c r="AJ949" s="57"/>
      <c r="AK949" s="57"/>
      <c r="AL949" s="57"/>
      <c r="AM949" s="57"/>
      <c r="AN949" s="57"/>
      <c r="AO949" s="57"/>
      <c r="AP949" s="57"/>
      <c r="AQ949" s="57"/>
      <c r="AR949" s="57"/>
      <c r="AS949" s="57"/>
      <c r="AT949" s="57"/>
      <c r="AU949" s="58">
        <f t="shared" si="14"/>
        <v>-48.543900000000008</v>
      </c>
      <c r="AV949" s="58"/>
    </row>
    <row r="950" spans="1:48" ht="13.5" customHeight="1">
      <c r="A950" s="84">
        <v>948</v>
      </c>
      <c r="B950" s="85">
        <v>989</v>
      </c>
      <c r="C950" s="85" t="s">
        <v>39</v>
      </c>
      <c r="D950" s="175">
        <v>-119.90912800000001</v>
      </c>
      <c r="F950" s="45">
        <v>350</v>
      </c>
      <c r="G950" s="45">
        <v>129.69384374999998</v>
      </c>
      <c r="H950" s="56">
        <v>-9.9091280000000097</v>
      </c>
      <c r="I950" s="56">
        <v>-9.9091280000000097</v>
      </c>
      <c r="J950" s="148">
        <v>0</v>
      </c>
      <c r="K950" s="57"/>
      <c r="L950" s="57"/>
      <c r="M950" s="57"/>
      <c r="N950" s="57"/>
      <c r="O950" s="57">
        <v>80</v>
      </c>
      <c r="P950" s="57"/>
      <c r="Q950" s="57"/>
      <c r="R950" s="57"/>
      <c r="S950" s="57"/>
      <c r="T950" s="57"/>
      <c r="U950" s="57"/>
      <c r="V950" s="57"/>
      <c r="W950" s="57"/>
      <c r="X950" s="57"/>
      <c r="Y950" s="57">
        <v>30</v>
      </c>
      <c r="Z950" s="57"/>
      <c r="AA950" s="57"/>
      <c r="AB950" s="57"/>
      <c r="AC950" s="57"/>
      <c r="AD950" s="57"/>
      <c r="AE950" s="57"/>
      <c r="AF950" s="57"/>
      <c r="AG950" s="57"/>
      <c r="AH950" s="57"/>
      <c r="AI950" s="57"/>
      <c r="AJ950" s="57"/>
      <c r="AK950" s="57"/>
      <c r="AL950" s="57"/>
      <c r="AM950" s="57"/>
      <c r="AN950" s="57"/>
      <c r="AO950" s="57"/>
      <c r="AP950" s="57"/>
      <c r="AQ950" s="57"/>
      <c r="AR950" s="57"/>
      <c r="AS950" s="57"/>
      <c r="AT950" s="57"/>
      <c r="AU950" s="58">
        <f t="shared" si="14"/>
        <v>-119.90912800000001</v>
      </c>
      <c r="AV950" s="58"/>
    </row>
    <row r="951" spans="1:48" ht="13.5" customHeight="1">
      <c r="A951" s="82">
        <v>949</v>
      </c>
      <c r="B951" s="85">
        <v>991</v>
      </c>
      <c r="C951" s="85" t="s">
        <v>39</v>
      </c>
      <c r="D951" s="175">
        <v>-202.34424000000001</v>
      </c>
      <c r="F951" s="45">
        <v>250</v>
      </c>
      <c r="G951" s="45">
        <v>147.9</v>
      </c>
      <c r="H951" s="56">
        <v>-202.34424000000001</v>
      </c>
      <c r="I951" s="56">
        <v>-202.34424000000001</v>
      </c>
      <c r="J951" s="148">
        <v>0</v>
      </c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  <c r="AA951" s="57"/>
      <c r="AB951" s="57"/>
      <c r="AC951" s="57"/>
      <c r="AD951" s="57"/>
      <c r="AE951" s="57"/>
      <c r="AF951" s="57"/>
      <c r="AG951" s="57"/>
      <c r="AH951" s="57"/>
      <c r="AI951" s="57"/>
      <c r="AJ951" s="57"/>
      <c r="AK951" s="57"/>
      <c r="AL951" s="57"/>
      <c r="AM951" s="57"/>
      <c r="AN951" s="57"/>
      <c r="AO951" s="57"/>
      <c r="AP951" s="57"/>
      <c r="AQ951" s="57"/>
      <c r="AR951" s="57"/>
      <c r="AS951" s="57"/>
      <c r="AT951" s="57"/>
      <c r="AU951" s="58">
        <f t="shared" si="14"/>
        <v>-202.34424000000001</v>
      </c>
      <c r="AV951" s="58"/>
    </row>
    <row r="952" spans="1:48" ht="13.5" customHeight="1">
      <c r="A952" s="84">
        <v>950</v>
      </c>
      <c r="B952" s="85">
        <v>992</v>
      </c>
      <c r="C952" s="85" t="s">
        <v>39</v>
      </c>
      <c r="D952" s="175">
        <v>119.78000000000003</v>
      </c>
      <c r="F952" s="45">
        <v>160</v>
      </c>
      <c r="G952" s="45">
        <v>25.644337499999999</v>
      </c>
      <c r="H952" s="56">
        <v>119.78000000000003</v>
      </c>
      <c r="I952" s="56">
        <v>119.78000000000003</v>
      </c>
      <c r="J952" s="148">
        <v>0</v>
      </c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  <c r="AA952" s="57"/>
      <c r="AB952" s="57"/>
      <c r="AC952" s="57"/>
      <c r="AD952" s="57"/>
      <c r="AE952" s="57"/>
      <c r="AF952" s="57"/>
      <c r="AG952" s="57"/>
      <c r="AH952" s="57"/>
      <c r="AI952" s="57"/>
      <c r="AJ952" s="57"/>
      <c r="AK952" s="57"/>
      <c r="AL952" s="57"/>
      <c r="AM952" s="57"/>
      <c r="AN952" s="57"/>
      <c r="AO952" s="57"/>
      <c r="AP952" s="57"/>
      <c r="AQ952" s="57"/>
      <c r="AR952" s="57"/>
      <c r="AS952" s="57"/>
      <c r="AT952" s="57"/>
      <c r="AU952" s="58">
        <f t="shared" si="14"/>
        <v>119.78000000000003</v>
      </c>
      <c r="AV952" s="58"/>
    </row>
    <row r="953" spans="1:48" ht="13.5" customHeight="1">
      <c r="A953" s="82">
        <v>951</v>
      </c>
      <c r="B953" s="85">
        <v>994</v>
      </c>
      <c r="C953" s="85" t="s">
        <v>39</v>
      </c>
      <c r="D953" s="175">
        <v>-148.71190000000013</v>
      </c>
      <c r="F953" s="45">
        <v>250</v>
      </c>
      <c r="G953" s="45">
        <v>123.074985</v>
      </c>
      <c r="H953" s="56">
        <v>-68.711900000000128</v>
      </c>
      <c r="I953" s="56">
        <v>-68.711900000000128</v>
      </c>
      <c r="J953" s="148">
        <v>0</v>
      </c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  <c r="AA953" s="57"/>
      <c r="AB953" s="57"/>
      <c r="AC953" s="57">
        <v>80</v>
      </c>
      <c r="AD953" s="57"/>
      <c r="AE953" s="57"/>
      <c r="AF953" s="57"/>
      <c r="AG953" s="57"/>
      <c r="AH953" s="57"/>
      <c r="AI953" s="57"/>
      <c r="AJ953" s="57"/>
      <c r="AK953" s="57"/>
      <c r="AL953" s="57"/>
      <c r="AM953" s="57"/>
      <c r="AN953" s="57"/>
      <c r="AO953" s="57"/>
      <c r="AP953" s="57"/>
      <c r="AQ953" s="57"/>
      <c r="AR953" s="57"/>
      <c r="AS953" s="57"/>
      <c r="AT953" s="57"/>
      <c r="AU953" s="58">
        <f t="shared" si="14"/>
        <v>-148.71190000000013</v>
      </c>
      <c r="AV953" s="58"/>
    </row>
    <row r="954" spans="1:48" ht="13.5" customHeight="1">
      <c r="A954" s="84">
        <v>952</v>
      </c>
      <c r="B954" s="85">
        <v>996</v>
      </c>
      <c r="C954" s="85" t="s">
        <v>39</v>
      </c>
      <c r="D954" s="175">
        <v>-21.644639999999981</v>
      </c>
      <c r="F954" s="45">
        <v>560</v>
      </c>
      <c r="G954" s="45">
        <v>350.61</v>
      </c>
      <c r="H954" s="56">
        <v>-21.644639999999981</v>
      </c>
      <c r="I954" s="56">
        <v>-21.644639999999981</v>
      </c>
      <c r="J954" s="148">
        <v>0</v>
      </c>
      <c r="K954" s="57"/>
      <c r="L954" s="57"/>
      <c r="M954" s="57"/>
      <c r="N954" s="57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  <c r="AA954" s="57"/>
      <c r="AB954" s="57"/>
      <c r="AC954" s="57"/>
      <c r="AD954" s="57"/>
      <c r="AE954" s="57"/>
      <c r="AF954" s="57"/>
      <c r="AG954" s="57"/>
      <c r="AH954" s="57"/>
      <c r="AI954" s="57"/>
      <c r="AJ954" s="57"/>
      <c r="AK954" s="57"/>
      <c r="AL954" s="57"/>
      <c r="AM954" s="57"/>
      <c r="AN954" s="57"/>
      <c r="AO954" s="57"/>
      <c r="AP954" s="57"/>
      <c r="AQ954" s="57"/>
      <c r="AR954" s="57"/>
      <c r="AS954" s="57"/>
      <c r="AT954" s="57"/>
      <c r="AU954" s="58">
        <f t="shared" si="14"/>
        <v>-21.644639999999981</v>
      </c>
      <c r="AV954" s="58"/>
    </row>
    <row r="955" spans="1:48" ht="13.5" customHeight="1">
      <c r="A955" s="84">
        <v>953</v>
      </c>
      <c r="B955" s="85">
        <v>999</v>
      </c>
      <c r="C955" s="85" t="s">
        <v>39</v>
      </c>
      <c r="D955" s="175">
        <v>138.74</v>
      </c>
      <c r="F955" s="45">
        <v>320</v>
      </c>
      <c r="G955" s="45">
        <v>74.646000000000001</v>
      </c>
      <c r="H955" s="56">
        <v>138.74</v>
      </c>
      <c r="I955" s="56">
        <v>138.74</v>
      </c>
      <c r="J955" s="148">
        <v>0</v>
      </c>
      <c r="K955" s="57"/>
      <c r="L955" s="57"/>
      <c r="M955" s="57"/>
      <c r="N955" s="57"/>
      <c r="O955" s="57"/>
      <c r="P955" s="57"/>
      <c r="Q955" s="57"/>
      <c r="R955" s="57"/>
      <c r="S955" s="57"/>
      <c r="T955" s="57"/>
      <c r="U955" s="57"/>
      <c r="V955" s="57"/>
      <c r="W955" s="57"/>
      <c r="X955" s="57"/>
      <c r="Y955" s="57"/>
      <c r="Z955" s="57"/>
      <c r="AA955" s="57"/>
      <c r="AB955" s="57"/>
      <c r="AC955" s="57"/>
      <c r="AD955" s="57"/>
      <c r="AE955" s="57"/>
      <c r="AF955" s="57"/>
      <c r="AG955" s="57"/>
      <c r="AH955" s="57"/>
      <c r="AI955" s="57"/>
      <c r="AJ955" s="57"/>
      <c r="AK955" s="57"/>
      <c r="AL955" s="57"/>
      <c r="AM955" s="57"/>
      <c r="AN955" s="57"/>
      <c r="AO955" s="57"/>
      <c r="AP955" s="57"/>
      <c r="AQ955" s="57"/>
      <c r="AR955" s="57"/>
      <c r="AS955" s="57"/>
      <c r="AT955" s="57"/>
      <c r="AU955" s="58">
        <f t="shared" si="14"/>
        <v>138.74</v>
      </c>
      <c r="AV955" s="58"/>
    </row>
    <row r="956" spans="1:48" ht="13.5" customHeight="1">
      <c r="A956" s="82">
        <v>954</v>
      </c>
      <c r="B956" s="85">
        <v>1000</v>
      </c>
      <c r="C956" s="85" t="s">
        <v>39</v>
      </c>
      <c r="D956" s="175">
        <v>-168.35955999999987</v>
      </c>
      <c r="F956" s="45">
        <v>560</v>
      </c>
      <c r="G956" s="45">
        <v>231.48</v>
      </c>
      <c r="H956" s="56">
        <v>-64.359559999999874</v>
      </c>
      <c r="I956" s="56">
        <v>-64.359559999999874</v>
      </c>
      <c r="J956" s="148">
        <v>0</v>
      </c>
      <c r="K956" s="57"/>
      <c r="L956" s="57"/>
      <c r="M956" s="57"/>
      <c r="N956" s="57"/>
      <c r="O956" s="57"/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  <c r="AA956" s="57"/>
      <c r="AB956" s="57"/>
      <c r="AC956" s="57"/>
      <c r="AD956" s="57"/>
      <c r="AE956" s="57"/>
      <c r="AF956" s="57"/>
      <c r="AG956" s="57"/>
      <c r="AH956" s="57"/>
      <c r="AI956" s="57"/>
      <c r="AJ956" s="57"/>
      <c r="AK956" s="57"/>
      <c r="AL956" s="57"/>
      <c r="AM956" s="57">
        <v>104</v>
      </c>
      <c r="AN956" s="57"/>
      <c r="AO956" s="57"/>
      <c r="AP956" s="57"/>
      <c r="AQ956" s="57"/>
      <c r="AR956" s="57"/>
      <c r="AS956" s="57"/>
      <c r="AT956" s="57"/>
      <c r="AU956" s="58">
        <f t="shared" si="14"/>
        <v>-168.35955999999987</v>
      </c>
      <c r="AV956" s="58"/>
    </row>
    <row r="957" spans="1:48" ht="13.5" customHeight="1">
      <c r="A957" s="84">
        <v>955</v>
      </c>
      <c r="B957" s="85">
        <v>1001</v>
      </c>
      <c r="C957" s="85" t="s">
        <v>39</v>
      </c>
      <c r="D957" s="175">
        <v>-14.037820000000124</v>
      </c>
      <c r="F957" s="45">
        <v>250</v>
      </c>
      <c r="G957" s="45">
        <v>176.30549999999997</v>
      </c>
      <c r="H957" s="56">
        <v>-14.037820000000124</v>
      </c>
      <c r="I957" s="56">
        <v>-14.037820000000124</v>
      </c>
      <c r="J957" s="148">
        <v>0</v>
      </c>
      <c r="K957" s="57"/>
      <c r="L957" s="57"/>
      <c r="M957" s="57"/>
      <c r="N957" s="57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  <c r="AA957" s="57"/>
      <c r="AB957" s="57"/>
      <c r="AC957" s="57"/>
      <c r="AD957" s="57"/>
      <c r="AE957" s="57"/>
      <c r="AF957" s="57"/>
      <c r="AG957" s="57"/>
      <c r="AH957" s="57"/>
      <c r="AI957" s="57"/>
      <c r="AJ957" s="57"/>
      <c r="AK957" s="57"/>
      <c r="AL957" s="57"/>
      <c r="AM957" s="57"/>
      <c r="AN957" s="57"/>
      <c r="AO957" s="57"/>
      <c r="AP957" s="57"/>
      <c r="AQ957" s="57"/>
      <c r="AR957" s="57"/>
      <c r="AS957" s="57"/>
      <c r="AT957" s="57"/>
      <c r="AU957" s="58">
        <f t="shared" si="14"/>
        <v>-14.037820000000124</v>
      </c>
      <c r="AV957" s="58"/>
    </row>
    <row r="958" spans="1:48" ht="13.5" customHeight="1">
      <c r="A958" s="82">
        <v>956</v>
      </c>
      <c r="B958" s="85">
        <v>1002</v>
      </c>
      <c r="C958" s="85" t="s">
        <v>39</v>
      </c>
      <c r="D958" s="175">
        <v>53.129300000000114</v>
      </c>
      <c r="F958" s="45">
        <v>400</v>
      </c>
      <c r="G958" s="45">
        <v>129.41684999999998</v>
      </c>
      <c r="H958" s="56">
        <v>53.129300000000114</v>
      </c>
      <c r="I958" s="56">
        <v>53.129300000000114</v>
      </c>
      <c r="J958" s="148">
        <v>0</v>
      </c>
      <c r="K958" s="57"/>
      <c r="L958" s="57"/>
      <c r="M958" s="57"/>
      <c r="N958" s="57"/>
      <c r="O958" s="57"/>
      <c r="P958" s="57"/>
      <c r="Q958" s="57"/>
      <c r="R958" s="57"/>
      <c r="S958" s="57"/>
      <c r="T958" s="57"/>
      <c r="U958" s="57"/>
      <c r="V958" s="57"/>
      <c r="W958" s="57"/>
      <c r="X958" s="57"/>
      <c r="Y958" s="57"/>
      <c r="Z958" s="57"/>
      <c r="AA958" s="57"/>
      <c r="AB958" s="57"/>
      <c r="AC958" s="57"/>
      <c r="AD958" s="57"/>
      <c r="AE958" s="57"/>
      <c r="AF958" s="57"/>
      <c r="AG958" s="57"/>
      <c r="AH958" s="57"/>
      <c r="AI958" s="57"/>
      <c r="AJ958" s="57"/>
      <c r="AK958" s="57"/>
      <c r="AL958" s="57"/>
      <c r="AM958" s="57"/>
      <c r="AN958" s="57"/>
      <c r="AO958" s="57"/>
      <c r="AP958" s="57"/>
      <c r="AQ958" s="57"/>
      <c r="AR958" s="57"/>
      <c r="AS958" s="57"/>
      <c r="AT958" s="57"/>
      <c r="AU958" s="58">
        <f t="shared" si="14"/>
        <v>53.129300000000114</v>
      </c>
      <c r="AV958" s="58"/>
    </row>
    <row r="959" spans="1:48" ht="13.5" customHeight="1">
      <c r="A959" s="84">
        <v>957</v>
      </c>
      <c r="B959" s="85">
        <v>1004</v>
      </c>
      <c r="C959" s="85" t="s">
        <v>39</v>
      </c>
      <c r="D959" s="175">
        <v>-79.960000000000036</v>
      </c>
      <c r="F959" s="45">
        <v>400</v>
      </c>
      <c r="G959" s="45">
        <v>226.530948</v>
      </c>
      <c r="H959" s="56">
        <v>-49.960000000000036</v>
      </c>
      <c r="I959" s="56">
        <v>-49.960000000000036</v>
      </c>
      <c r="J959" s="148">
        <v>0</v>
      </c>
      <c r="K959" s="57"/>
      <c r="L959" s="57"/>
      <c r="M959" s="57"/>
      <c r="N959" s="57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  <c r="AA959" s="57"/>
      <c r="AB959" s="57"/>
      <c r="AC959" s="57"/>
      <c r="AD959" s="57"/>
      <c r="AE959" s="57"/>
      <c r="AF959" s="57"/>
      <c r="AG959" s="57"/>
      <c r="AH959" s="57"/>
      <c r="AI959" s="57"/>
      <c r="AJ959" s="57"/>
      <c r="AK959" s="57"/>
      <c r="AL959" s="57">
        <v>30</v>
      </c>
      <c r="AM959" s="57"/>
      <c r="AN959" s="57"/>
      <c r="AO959" s="57"/>
      <c r="AP959" s="57"/>
      <c r="AQ959" s="57"/>
      <c r="AR959" s="57"/>
      <c r="AS959" s="57"/>
      <c r="AT959" s="57"/>
      <c r="AU959" s="58">
        <f t="shared" si="14"/>
        <v>-79.960000000000036</v>
      </c>
      <c r="AV959" s="58"/>
    </row>
    <row r="960" spans="1:48" ht="13.5" customHeight="1">
      <c r="A960" s="84">
        <v>958</v>
      </c>
      <c r="B960" s="85">
        <v>1005</v>
      </c>
      <c r="C960" s="85" t="s">
        <v>39</v>
      </c>
      <c r="D960" s="175">
        <v>-94.960000000000036</v>
      </c>
      <c r="F960" s="45">
        <v>250</v>
      </c>
      <c r="G960" s="45">
        <v>70.6875</v>
      </c>
      <c r="H960" s="56">
        <v>5.0399999999999636</v>
      </c>
      <c r="I960" s="56">
        <v>5.0399999999999636</v>
      </c>
      <c r="J960" s="148">
        <v>0</v>
      </c>
      <c r="K960" s="57"/>
      <c r="L960" s="57"/>
      <c r="M960" s="57"/>
      <c r="N960" s="57">
        <v>100</v>
      </c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  <c r="AA960" s="57"/>
      <c r="AB960" s="57"/>
      <c r="AC960" s="57"/>
      <c r="AD960" s="57"/>
      <c r="AE960" s="57"/>
      <c r="AF960" s="57"/>
      <c r="AG960" s="57"/>
      <c r="AH960" s="57"/>
      <c r="AI960" s="57"/>
      <c r="AJ960" s="57"/>
      <c r="AK960" s="57"/>
      <c r="AL960" s="57"/>
      <c r="AM960" s="57"/>
      <c r="AN960" s="57"/>
      <c r="AO960" s="57"/>
      <c r="AP960" s="57"/>
      <c r="AQ960" s="57"/>
      <c r="AR960" s="57"/>
      <c r="AS960" s="57"/>
      <c r="AT960" s="57"/>
      <c r="AU960" s="58">
        <f t="shared" si="14"/>
        <v>-94.960000000000036</v>
      </c>
      <c r="AV960" s="58"/>
    </row>
    <row r="961" spans="1:48" ht="13.5" customHeight="1">
      <c r="A961" s="82">
        <v>959</v>
      </c>
      <c r="B961" s="85">
        <v>1006</v>
      </c>
      <c r="C961" s="85" t="s">
        <v>39</v>
      </c>
      <c r="D961" s="175">
        <v>-47.279225999999994</v>
      </c>
      <c r="F961" s="45">
        <v>250</v>
      </c>
      <c r="G961" s="45">
        <v>200.1</v>
      </c>
      <c r="H961" s="56">
        <v>-47.279225999999994</v>
      </c>
      <c r="I961" s="56">
        <v>-47.279225999999994</v>
      </c>
      <c r="J961" s="148">
        <v>0</v>
      </c>
      <c r="K961" s="57"/>
      <c r="L961" s="57"/>
      <c r="M961" s="57"/>
      <c r="N961" s="57"/>
      <c r="O961" s="57"/>
      <c r="P961" s="57"/>
      <c r="Q961" s="57"/>
      <c r="R961" s="57"/>
      <c r="S961" s="57"/>
      <c r="T961" s="57"/>
      <c r="U961" s="57"/>
      <c r="V961" s="57"/>
      <c r="W961" s="57"/>
      <c r="X961" s="57"/>
      <c r="Y961" s="57"/>
      <c r="Z961" s="57"/>
      <c r="AA961" s="57"/>
      <c r="AB961" s="57"/>
      <c r="AC961" s="57"/>
      <c r="AD961" s="57"/>
      <c r="AE961" s="57"/>
      <c r="AF961" s="57"/>
      <c r="AG961" s="57"/>
      <c r="AH961" s="57"/>
      <c r="AI961" s="57"/>
      <c r="AJ961" s="57"/>
      <c r="AK961" s="57"/>
      <c r="AL961" s="57"/>
      <c r="AM961" s="57"/>
      <c r="AN961" s="57"/>
      <c r="AO961" s="57"/>
      <c r="AP961" s="57"/>
      <c r="AQ961" s="57"/>
      <c r="AR961" s="57"/>
      <c r="AS961" s="57"/>
      <c r="AT961" s="57"/>
      <c r="AU961" s="58">
        <f t="shared" si="14"/>
        <v>-47.279225999999994</v>
      </c>
      <c r="AV961" s="58"/>
    </row>
    <row r="962" spans="1:48" ht="13.5" customHeight="1">
      <c r="A962" s="84">
        <v>960</v>
      </c>
      <c r="B962" s="85">
        <v>1008</v>
      </c>
      <c r="C962" s="85" t="s">
        <v>39</v>
      </c>
      <c r="D962" s="175">
        <v>115.14337</v>
      </c>
      <c r="F962" s="45">
        <v>882</v>
      </c>
      <c r="G962" s="45">
        <v>553.8768</v>
      </c>
      <c r="H962" s="56">
        <v>115.14337</v>
      </c>
      <c r="I962" s="56">
        <v>115.14337</v>
      </c>
      <c r="J962" s="148">
        <v>0</v>
      </c>
      <c r="K962" s="57"/>
      <c r="L962" s="57"/>
      <c r="M962" s="57"/>
      <c r="N962" s="57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  <c r="AA962" s="57"/>
      <c r="AB962" s="57"/>
      <c r="AC962" s="57"/>
      <c r="AD962" s="57"/>
      <c r="AE962" s="57"/>
      <c r="AF962" s="57"/>
      <c r="AG962" s="57"/>
      <c r="AH962" s="57"/>
      <c r="AI962" s="57"/>
      <c r="AJ962" s="57"/>
      <c r="AK962" s="57"/>
      <c r="AL962" s="57"/>
      <c r="AM962" s="57"/>
      <c r="AN962" s="57"/>
      <c r="AO962" s="57"/>
      <c r="AP962" s="57"/>
      <c r="AQ962" s="57"/>
      <c r="AR962" s="57"/>
      <c r="AS962" s="57"/>
      <c r="AT962" s="57"/>
      <c r="AU962" s="58">
        <f t="shared" si="14"/>
        <v>115.14337</v>
      </c>
      <c r="AV962" s="58"/>
    </row>
    <row r="963" spans="1:48" ht="13.5" customHeight="1">
      <c r="A963" s="82">
        <v>961</v>
      </c>
      <c r="B963" s="85">
        <v>1009</v>
      </c>
      <c r="C963" s="85" t="s">
        <v>39</v>
      </c>
      <c r="D963" s="175">
        <v>-148.71949999999993</v>
      </c>
      <c r="F963" s="45">
        <v>400</v>
      </c>
      <c r="G963" s="45">
        <v>304.5</v>
      </c>
      <c r="H963" s="56">
        <v>51.280500000000075</v>
      </c>
      <c r="I963" s="56">
        <v>51.280500000000075</v>
      </c>
      <c r="J963" s="148">
        <v>0</v>
      </c>
      <c r="K963" s="57"/>
      <c r="L963" s="57"/>
      <c r="M963" s="57"/>
      <c r="N963" s="57"/>
      <c r="O963" s="57"/>
      <c r="P963" s="57"/>
      <c r="Q963" s="57"/>
      <c r="R963" s="57"/>
      <c r="S963" s="57"/>
      <c r="T963" s="57"/>
      <c r="U963" s="57"/>
      <c r="V963" s="57"/>
      <c r="W963" s="57"/>
      <c r="X963" s="57"/>
      <c r="Y963" s="57"/>
      <c r="Z963" s="57"/>
      <c r="AA963" s="57"/>
      <c r="AB963" s="57">
        <v>200</v>
      </c>
      <c r="AC963" s="57"/>
      <c r="AD963" s="57"/>
      <c r="AE963" s="57"/>
      <c r="AF963" s="57"/>
      <c r="AG963" s="57"/>
      <c r="AH963" s="57"/>
      <c r="AI963" s="57"/>
      <c r="AJ963" s="57"/>
      <c r="AK963" s="57"/>
      <c r="AL963" s="57"/>
      <c r="AM963" s="57"/>
      <c r="AN963" s="57"/>
      <c r="AO963" s="57"/>
      <c r="AP963" s="57"/>
      <c r="AQ963" s="57"/>
      <c r="AR963" s="57"/>
      <c r="AS963" s="57"/>
      <c r="AT963" s="57"/>
      <c r="AU963" s="58">
        <f t="shared" si="14"/>
        <v>-148.71949999999993</v>
      </c>
      <c r="AV963" s="58"/>
    </row>
    <row r="964" spans="1:48" ht="13.5" customHeight="1">
      <c r="A964" s="84">
        <v>962</v>
      </c>
      <c r="B964" s="85">
        <v>1010</v>
      </c>
      <c r="C964" s="85" t="s">
        <v>39</v>
      </c>
      <c r="D964" s="175">
        <v>-110.13479124999992</v>
      </c>
      <c r="F964" s="45">
        <v>250</v>
      </c>
      <c r="G964" s="45">
        <v>122.95014</v>
      </c>
      <c r="H964" s="56">
        <v>37.865208750000079</v>
      </c>
      <c r="I964" s="56">
        <v>37.865208750000079</v>
      </c>
      <c r="J964" s="148">
        <v>0</v>
      </c>
      <c r="K964" s="57"/>
      <c r="L964" s="57"/>
      <c r="M964" s="57"/>
      <c r="N964" s="57"/>
      <c r="O964" s="57"/>
      <c r="P964" s="57"/>
      <c r="Q964" s="57"/>
      <c r="R964" s="57"/>
      <c r="S964" s="57"/>
      <c r="T964" s="57"/>
      <c r="U964" s="57"/>
      <c r="V964" s="57"/>
      <c r="W964" s="57"/>
      <c r="X964" s="57"/>
      <c r="Y964" s="57"/>
      <c r="Z964" s="57"/>
      <c r="AA964" s="57"/>
      <c r="AB964" s="57"/>
      <c r="AC964" s="57"/>
      <c r="AD964" s="57"/>
      <c r="AE964" s="57"/>
      <c r="AF964" s="57"/>
      <c r="AG964" s="57"/>
      <c r="AH964" s="57"/>
      <c r="AI964" s="57"/>
      <c r="AJ964" s="57"/>
      <c r="AK964" s="57">
        <v>148</v>
      </c>
      <c r="AL964" s="57"/>
      <c r="AM964" s="57"/>
      <c r="AN964" s="57"/>
      <c r="AO964" s="57"/>
      <c r="AP964" s="57"/>
      <c r="AQ964" s="57"/>
      <c r="AR964" s="57"/>
      <c r="AS964" s="57"/>
      <c r="AT964" s="57"/>
      <c r="AU964" s="58">
        <f t="shared" ref="AU964:AU1027" si="15">I964-J964-K964-L964-M964-N964-O964-P964-Q964-R964-S964-T964-U964-V964-W964-X964-Y964-Z964-AA964-AB964-AC964-AD964-AE964-AF964-AG964-AH964-AI964-AJ964-AK964-AL964-AM964-AN964-AO964-AP964-AQ964-AR964-AS964-AT964</f>
        <v>-110.13479124999992</v>
      </c>
      <c r="AV964" s="58"/>
    </row>
    <row r="965" spans="1:48" ht="13.5" customHeight="1">
      <c r="A965" s="84">
        <v>963</v>
      </c>
      <c r="B965" s="85">
        <v>1011</v>
      </c>
      <c r="C965" s="85" t="s">
        <v>39</v>
      </c>
      <c r="D965" s="175">
        <v>-490.6</v>
      </c>
      <c r="F965" s="45">
        <v>250</v>
      </c>
      <c r="G965" s="45">
        <v>174</v>
      </c>
      <c r="H965" s="56">
        <v>-140.60000000000002</v>
      </c>
      <c r="I965" s="56">
        <v>-140.60000000000002</v>
      </c>
      <c r="J965" s="148">
        <v>0</v>
      </c>
      <c r="K965" s="57"/>
      <c r="L965" s="57">
        <v>170</v>
      </c>
      <c r="M965" s="57"/>
      <c r="N965" s="57"/>
      <c r="O965" s="57"/>
      <c r="P965" s="57"/>
      <c r="Q965" s="57"/>
      <c r="R965" s="57">
        <v>100</v>
      </c>
      <c r="S965" s="57"/>
      <c r="T965" s="57"/>
      <c r="U965" s="57"/>
      <c r="V965" s="57"/>
      <c r="W965" s="57"/>
      <c r="X965" s="57"/>
      <c r="Y965" s="57"/>
      <c r="Z965" s="57"/>
      <c r="AA965" s="57"/>
      <c r="AB965" s="57"/>
      <c r="AC965" s="57">
        <v>80</v>
      </c>
      <c r="AD965" s="57"/>
      <c r="AE965" s="57"/>
      <c r="AF965" s="57"/>
      <c r="AG965" s="57"/>
      <c r="AH965" s="57"/>
      <c r="AI965" s="57"/>
      <c r="AJ965" s="57"/>
      <c r="AK965" s="57"/>
      <c r="AL965" s="57"/>
      <c r="AM965" s="57"/>
      <c r="AN965" s="57"/>
      <c r="AO965" s="57"/>
      <c r="AP965" s="57"/>
      <c r="AQ965" s="57"/>
      <c r="AR965" s="57"/>
      <c r="AS965" s="57"/>
      <c r="AT965" s="57"/>
      <c r="AU965" s="58">
        <f t="shared" si="15"/>
        <v>-490.6</v>
      </c>
      <c r="AV965" s="58"/>
    </row>
    <row r="966" spans="1:48" ht="13.5" customHeight="1">
      <c r="A966" s="82">
        <v>964</v>
      </c>
      <c r="B966" s="85">
        <v>1012</v>
      </c>
      <c r="C966" s="85" t="s">
        <v>39</v>
      </c>
      <c r="D966" s="175">
        <v>67.587949999999978</v>
      </c>
      <c r="F966" s="45">
        <v>630</v>
      </c>
      <c r="G966" s="45">
        <v>77.074550000000002</v>
      </c>
      <c r="H966" s="56">
        <v>67.587949999999978</v>
      </c>
      <c r="I966" s="56">
        <v>67.587949999999978</v>
      </c>
      <c r="J966" s="148">
        <v>0</v>
      </c>
      <c r="K966" s="57"/>
      <c r="L966" s="57"/>
      <c r="M966" s="57"/>
      <c r="N966" s="57"/>
      <c r="O966" s="57"/>
      <c r="P966" s="57"/>
      <c r="Q966" s="57"/>
      <c r="R966" s="57"/>
      <c r="S966" s="57"/>
      <c r="T966" s="57"/>
      <c r="U966" s="57"/>
      <c r="V966" s="57"/>
      <c r="W966" s="57"/>
      <c r="X966" s="57"/>
      <c r="Y966" s="57"/>
      <c r="Z966" s="57"/>
      <c r="AA966" s="57"/>
      <c r="AB966" s="57"/>
      <c r="AC966" s="57"/>
      <c r="AD966" s="57"/>
      <c r="AE966" s="57"/>
      <c r="AF966" s="57"/>
      <c r="AG966" s="57"/>
      <c r="AH966" s="57"/>
      <c r="AI966" s="57"/>
      <c r="AJ966" s="57"/>
      <c r="AK966" s="57"/>
      <c r="AL966" s="57"/>
      <c r="AM966" s="57"/>
      <c r="AN966" s="57"/>
      <c r="AO966" s="57"/>
      <c r="AP966" s="57"/>
      <c r="AQ966" s="57"/>
      <c r="AR966" s="57"/>
      <c r="AS966" s="57"/>
      <c r="AT966" s="57"/>
      <c r="AU966" s="58">
        <f t="shared" si="15"/>
        <v>67.587949999999978</v>
      </c>
      <c r="AV966" s="58"/>
    </row>
    <row r="967" spans="1:48" ht="13.5" customHeight="1">
      <c r="A967" s="84">
        <v>965</v>
      </c>
      <c r="B967" s="85">
        <v>1013</v>
      </c>
      <c r="C967" s="85" t="s">
        <v>39</v>
      </c>
      <c r="D967" s="175">
        <v>-20.507291999999978</v>
      </c>
      <c r="F967" s="45">
        <v>400</v>
      </c>
      <c r="G967" s="45">
        <v>160.778175</v>
      </c>
      <c r="H967" s="56">
        <v>201.09270800000002</v>
      </c>
      <c r="I967" s="56">
        <v>218.09270800000002</v>
      </c>
      <c r="J967" s="148">
        <v>17</v>
      </c>
      <c r="K967" s="57"/>
      <c r="L967" s="57"/>
      <c r="M967" s="57"/>
      <c r="N967" s="57"/>
      <c r="O967" s="57"/>
      <c r="P967" s="57">
        <v>143.6</v>
      </c>
      <c r="Q967" s="57"/>
      <c r="R967" s="57"/>
      <c r="S967" s="57"/>
      <c r="T967" s="57"/>
      <c r="U967" s="57"/>
      <c r="V967" s="57"/>
      <c r="W967" s="57"/>
      <c r="X967" s="57"/>
      <c r="Y967" s="57"/>
      <c r="Z967" s="57"/>
      <c r="AA967" s="57"/>
      <c r="AB967" s="57"/>
      <c r="AC967" s="57"/>
      <c r="AD967" s="57"/>
      <c r="AE967" s="57"/>
      <c r="AF967" s="57"/>
      <c r="AG967" s="57"/>
      <c r="AH967" s="57"/>
      <c r="AI967" s="57"/>
      <c r="AJ967" s="57">
        <v>78</v>
      </c>
      <c r="AK967" s="57"/>
      <c r="AL967" s="57"/>
      <c r="AM967" s="57"/>
      <c r="AN967" s="57"/>
      <c r="AO967" s="57"/>
      <c r="AP967" s="57"/>
      <c r="AQ967" s="57"/>
      <c r="AR967" s="57"/>
      <c r="AS967" s="57"/>
      <c r="AT967" s="57"/>
      <c r="AU967" s="58">
        <f t="shared" si="15"/>
        <v>-20.507291999999978</v>
      </c>
      <c r="AV967" s="58"/>
    </row>
    <row r="968" spans="1:48" ht="13.5" customHeight="1">
      <c r="A968" s="82">
        <v>966</v>
      </c>
      <c r="B968" s="85">
        <v>1014</v>
      </c>
      <c r="C968" s="85" t="s">
        <v>39</v>
      </c>
      <c r="D968" s="175">
        <v>376.15624200000002</v>
      </c>
      <c r="F968" s="45">
        <v>400</v>
      </c>
      <c r="G968" s="45">
        <v>135.72</v>
      </c>
      <c r="H968" s="56">
        <v>376.15624200000002</v>
      </c>
      <c r="I968" s="56">
        <v>376.15624200000002</v>
      </c>
      <c r="J968" s="148">
        <v>0</v>
      </c>
      <c r="K968" s="57"/>
      <c r="L968" s="57"/>
      <c r="M968" s="57"/>
      <c r="N968" s="57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  <c r="AA968" s="57"/>
      <c r="AB968" s="57"/>
      <c r="AC968" s="57"/>
      <c r="AD968" s="57"/>
      <c r="AE968" s="57"/>
      <c r="AF968" s="57"/>
      <c r="AG968" s="57"/>
      <c r="AH968" s="57"/>
      <c r="AI968" s="57"/>
      <c r="AJ968" s="57"/>
      <c r="AK968" s="57"/>
      <c r="AL968" s="57"/>
      <c r="AM968" s="57"/>
      <c r="AN968" s="57"/>
      <c r="AO968" s="57"/>
      <c r="AP968" s="57"/>
      <c r="AQ968" s="57"/>
      <c r="AR968" s="57"/>
      <c r="AS968" s="57"/>
      <c r="AT968" s="57"/>
      <c r="AU968" s="58">
        <f t="shared" si="15"/>
        <v>376.15624200000002</v>
      </c>
      <c r="AV968" s="58"/>
    </row>
    <row r="969" spans="1:48" ht="13.5" customHeight="1">
      <c r="A969" s="84">
        <v>967</v>
      </c>
      <c r="B969" s="85">
        <v>1018</v>
      </c>
      <c r="C969" s="85" t="s">
        <v>39</v>
      </c>
      <c r="D969" s="175">
        <v>-199.82749999999999</v>
      </c>
      <c r="F969" s="45">
        <v>160</v>
      </c>
      <c r="G969" s="45">
        <v>22.272000000000002</v>
      </c>
      <c r="H969" s="56">
        <v>-76.827499999999986</v>
      </c>
      <c r="I969" s="116">
        <v>-76.827499999999986</v>
      </c>
      <c r="J969" s="148">
        <v>0</v>
      </c>
      <c r="K969" s="57"/>
      <c r="L969" s="57"/>
      <c r="M969" s="57"/>
      <c r="N969" s="57"/>
      <c r="O969" s="57"/>
      <c r="P969" s="57"/>
      <c r="Q969" s="57">
        <v>70</v>
      </c>
      <c r="R969" s="57"/>
      <c r="S969" s="57"/>
      <c r="T969" s="57"/>
      <c r="U969" s="57"/>
      <c r="V969" s="57"/>
      <c r="W969" s="57"/>
      <c r="X969" s="57"/>
      <c r="Y969" s="57"/>
      <c r="Z969" s="57"/>
      <c r="AA969" s="57"/>
      <c r="AB969" s="57"/>
      <c r="AC969" s="57"/>
      <c r="AD969" s="57"/>
      <c r="AE969" s="57"/>
      <c r="AF969" s="57"/>
      <c r="AG969" s="57">
        <v>16</v>
      </c>
      <c r="AH969" s="57"/>
      <c r="AI969" s="57"/>
      <c r="AJ969" s="57">
        <v>16</v>
      </c>
      <c r="AK969" s="57"/>
      <c r="AL969" s="57"/>
      <c r="AM969" s="57">
        <v>21</v>
      </c>
      <c r="AN969" s="57"/>
      <c r="AO969" s="57"/>
      <c r="AP969" s="57"/>
      <c r="AQ969" s="57"/>
      <c r="AR969" s="57"/>
      <c r="AS969" s="57"/>
      <c r="AT969" s="57"/>
      <c r="AU969" s="58">
        <f t="shared" si="15"/>
        <v>-199.82749999999999</v>
      </c>
      <c r="AV969" s="58"/>
    </row>
    <row r="970" spans="1:48" ht="13.5" customHeight="1">
      <c r="A970" s="84">
        <v>968</v>
      </c>
      <c r="B970" s="85">
        <v>1019</v>
      </c>
      <c r="C970" s="85" t="s">
        <v>39</v>
      </c>
      <c r="D970" s="175">
        <v>71.618262500000128</v>
      </c>
      <c r="F970" s="45">
        <v>251.99999999999997</v>
      </c>
      <c r="G970" s="45">
        <v>271.778865</v>
      </c>
      <c r="H970" s="56">
        <v>257.61826250000013</v>
      </c>
      <c r="I970" s="116">
        <v>257.61826250000013</v>
      </c>
      <c r="J970" s="148">
        <v>0</v>
      </c>
      <c r="K970" s="57"/>
      <c r="L970" s="57"/>
      <c r="M970" s="57"/>
      <c r="N970" s="57"/>
      <c r="O970" s="57">
        <v>40</v>
      </c>
      <c r="P970" s="57"/>
      <c r="Q970" s="57"/>
      <c r="R970" s="57"/>
      <c r="S970" s="57"/>
      <c r="T970" s="57"/>
      <c r="U970" s="57"/>
      <c r="V970" s="57"/>
      <c r="W970" s="57"/>
      <c r="X970" s="57"/>
      <c r="Y970" s="57">
        <v>40</v>
      </c>
      <c r="Z970" s="57"/>
      <c r="AA970" s="57"/>
      <c r="AB970" s="57">
        <v>80</v>
      </c>
      <c r="AC970" s="57"/>
      <c r="AD970" s="57"/>
      <c r="AE970" s="57"/>
      <c r="AF970" s="57"/>
      <c r="AG970" s="57"/>
      <c r="AH970" s="57"/>
      <c r="AI970" s="57"/>
      <c r="AJ970" s="57"/>
      <c r="AK970" s="57"/>
      <c r="AL970" s="57"/>
      <c r="AM970" s="57"/>
      <c r="AN970" s="57"/>
      <c r="AO970" s="57"/>
      <c r="AP970" s="57"/>
      <c r="AQ970" s="57"/>
      <c r="AR970" s="57"/>
      <c r="AS970" s="57"/>
      <c r="AT970" s="57">
        <v>26</v>
      </c>
      <c r="AU970" s="58">
        <f t="shared" si="15"/>
        <v>71.618262500000128</v>
      </c>
      <c r="AV970" s="58"/>
    </row>
    <row r="971" spans="1:48" ht="13.5" customHeight="1">
      <c r="A971" s="82">
        <v>969</v>
      </c>
      <c r="B971" s="85">
        <v>1020</v>
      </c>
      <c r="C971" s="85" t="s">
        <v>39</v>
      </c>
      <c r="D971" s="175">
        <v>62.828317500000026</v>
      </c>
      <c r="F971" s="45">
        <v>400</v>
      </c>
      <c r="G971" s="45">
        <v>57.443925</v>
      </c>
      <c r="H971" s="56">
        <v>62.828317500000026</v>
      </c>
      <c r="I971" s="116">
        <v>62.828317500000026</v>
      </c>
      <c r="J971" s="148">
        <v>0</v>
      </c>
      <c r="K971" s="57"/>
      <c r="L971" s="57"/>
      <c r="M971" s="57"/>
      <c r="N971" s="57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  <c r="AA971" s="57"/>
      <c r="AB971" s="57"/>
      <c r="AC971" s="57"/>
      <c r="AD971" s="57"/>
      <c r="AE971" s="57"/>
      <c r="AF971" s="57"/>
      <c r="AG971" s="57"/>
      <c r="AH971" s="57"/>
      <c r="AI971" s="57"/>
      <c r="AJ971" s="57"/>
      <c r="AK971" s="57"/>
      <c r="AL971" s="57"/>
      <c r="AM971" s="57"/>
      <c r="AN971" s="57"/>
      <c r="AO971" s="57"/>
      <c r="AP971" s="57"/>
      <c r="AQ971" s="57"/>
      <c r="AR971" s="57"/>
      <c r="AS971" s="57"/>
      <c r="AT971" s="57"/>
      <c r="AU971" s="58">
        <f t="shared" si="15"/>
        <v>62.828317500000026</v>
      </c>
      <c r="AV971" s="58"/>
    </row>
    <row r="972" spans="1:48" ht="13.5" customHeight="1">
      <c r="A972" s="84">
        <v>970</v>
      </c>
      <c r="B972" s="85">
        <v>1021</v>
      </c>
      <c r="C972" s="85" t="s">
        <v>39</v>
      </c>
      <c r="D972" s="175">
        <v>86.851034999999968</v>
      </c>
      <c r="F972" s="45">
        <v>400</v>
      </c>
      <c r="G972" s="45">
        <v>54.4968</v>
      </c>
      <c r="H972" s="56">
        <v>131.85103499999997</v>
      </c>
      <c r="I972" s="116">
        <v>131.85103499999997</v>
      </c>
      <c r="J972" s="148">
        <v>0</v>
      </c>
      <c r="K972" s="57"/>
      <c r="L972" s="57"/>
      <c r="M972" s="57"/>
      <c r="N972" s="57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  <c r="AA972" s="57"/>
      <c r="AB972" s="57"/>
      <c r="AC972" s="57"/>
      <c r="AD972" s="57"/>
      <c r="AE972" s="57"/>
      <c r="AF972" s="57"/>
      <c r="AG972" s="57"/>
      <c r="AH972" s="57"/>
      <c r="AI972" s="57"/>
      <c r="AJ972" s="57"/>
      <c r="AK972" s="57"/>
      <c r="AL972" s="57"/>
      <c r="AM972" s="57"/>
      <c r="AN972" s="57"/>
      <c r="AO972" s="57">
        <v>45</v>
      </c>
      <c r="AP972" s="57"/>
      <c r="AQ972" s="57"/>
      <c r="AR972" s="57"/>
      <c r="AS972" s="57"/>
      <c r="AT972" s="57"/>
      <c r="AU972" s="58">
        <f t="shared" si="15"/>
        <v>86.851034999999968</v>
      </c>
      <c r="AV972" s="58"/>
    </row>
    <row r="973" spans="1:48" ht="13.5" customHeight="1">
      <c r="A973" s="82">
        <v>971</v>
      </c>
      <c r="B973" s="85">
        <v>1022</v>
      </c>
      <c r="C973" s="85" t="s">
        <v>39</v>
      </c>
      <c r="D973" s="175">
        <v>118.4496079999999</v>
      </c>
      <c r="F973" s="45">
        <v>350</v>
      </c>
      <c r="G973" s="45">
        <v>407.85599999999999</v>
      </c>
      <c r="H973" s="56">
        <v>218.4496079999999</v>
      </c>
      <c r="I973" s="116">
        <v>218.4496079999999</v>
      </c>
      <c r="J973" s="148">
        <v>0</v>
      </c>
      <c r="K973" s="57"/>
      <c r="L973" s="57"/>
      <c r="M973" s="57"/>
      <c r="N973" s="57"/>
      <c r="O973" s="57"/>
      <c r="P973" s="57"/>
      <c r="Q973" s="57"/>
      <c r="R973" s="57"/>
      <c r="S973" s="57">
        <v>100</v>
      </c>
      <c r="T973" s="57"/>
      <c r="U973" s="57"/>
      <c r="V973" s="57"/>
      <c r="W973" s="57"/>
      <c r="X973" s="57"/>
      <c r="Y973" s="57"/>
      <c r="Z973" s="57"/>
      <c r="AA973" s="57"/>
      <c r="AB973" s="57"/>
      <c r="AC973" s="57"/>
      <c r="AD973" s="57"/>
      <c r="AE973" s="57"/>
      <c r="AF973" s="57"/>
      <c r="AG973" s="57"/>
      <c r="AH973" s="57"/>
      <c r="AI973" s="57"/>
      <c r="AJ973" s="57"/>
      <c r="AK973" s="57"/>
      <c r="AL973" s="57"/>
      <c r="AM973" s="57"/>
      <c r="AN973" s="57"/>
      <c r="AO973" s="57"/>
      <c r="AP973" s="57"/>
      <c r="AQ973" s="57"/>
      <c r="AR973" s="57"/>
      <c r="AS973" s="57"/>
      <c r="AT973" s="57"/>
      <c r="AU973" s="58">
        <f t="shared" si="15"/>
        <v>118.4496079999999</v>
      </c>
      <c r="AV973" s="58"/>
    </row>
    <row r="974" spans="1:48" ht="13.5" customHeight="1">
      <c r="A974" s="84">
        <v>972</v>
      </c>
      <c r="B974" s="85">
        <v>1023</v>
      </c>
      <c r="C974" s="85" t="s">
        <v>39</v>
      </c>
      <c r="D974" s="175">
        <v>6.8399999999999181</v>
      </c>
      <c r="F974" s="45">
        <v>100</v>
      </c>
      <c r="G974" s="45">
        <v>65.25</v>
      </c>
      <c r="H974" s="56">
        <v>6.8399999999999181</v>
      </c>
      <c r="I974" s="116">
        <v>6.8399999999999181</v>
      </c>
      <c r="J974" s="148">
        <v>0</v>
      </c>
      <c r="K974" s="57"/>
      <c r="L974" s="57"/>
      <c r="M974" s="57"/>
      <c r="N974" s="57"/>
      <c r="O974" s="57"/>
      <c r="P974" s="57"/>
      <c r="Q974" s="57"/>
      <c r="R974" s="57"/>
      <c r="S974" s="57"/>
      <c r="T974" s="57"/>
      <c r="U974" s="57"/>
      <c r="V974" s="57"/>
      <c r="W974" s="57"/>
      <c r="X974" s="57"/>
      <c r="Y974" s="57"/>
      <c r="Z974" s="57"/>
      <c r="AA974" s="57"/>
      <c r="AB974" s="57"/>
      <c r="AC974" s="57"/>
      <c r="AD974" s="57"/>
      <c r="AE974" s="57"/>
      <c r="AF974" s="57"/>
      <c r="AG974" s="57"/>
      <c r="AH974" s="57"/>
      <c r="AI974" s="57"/>
      <c r="AJ974" s="57"/>
      <c r="AK974" s="57"/>
      <c r="AL974" s="57"/>
      <c r="AM974" s="57"/>
      <c r="AN974" s="57"/>
      <c r="AO974" s="57"/>
      <c r="AP974" s="57"/>
      <c r="AQ974" s="57"/>
      <c r="AR974" s="57"/>
      <c r="AS974" s="57"/>
      <c r="AT974" s="57"/>
      <c r="AU974" s="58">
        <f t="shared" si="15"/>
        <v>6.8399999999999181</v>
      </c>
      <c r="AV974" s="58"/>
    </row>
    <row r="975" spans="1:48" ht="13.5" customHeight="1">
      <c r="A975" s="84">
        <v>973</v>
      </c>
      <c r="B975" s="85">
        <v>1024</v>
      </c>
      <c r="C975" s="85" t="s">
        <v>39</v>
      </c>
      <c r="D975" s="175">
        <v>51.052143500000057</v>
      </c>
      <c r="F975" s="45">
        <v>250</v>
      </c>
      <c r="G975" s="45">
        <v>139.19999999999999</v>
      </c>
      <c r="H975" s="56">
        <v>51.052143500000057</v>
      </c>
      <c r="I975" s="116">
        <v>51.052143500000057</v>
      </c>
      <c r="J975" s="148">
        <v>0</v>
      </c>
      <c r="K975" s="57"/>
      <c r="L975" s="57"/>
      <c r="M975" s="57"/>
      <c r="N975" s="57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  <c r="Z975" s="57"/>
      <c r="AA975" s="57"/>
      <c r="AB975" s="57"/>
      <c r="AC975" s="57"/>
      <c r="AD975" s="57"/>
      <c r="AE975" s="57"/>
      <c r="AF975" s="57"/>
      <c r="AG975" s="57"/>
      <c r="AH975" s="57"/>
      <c r="AI975" s="57"/>
      <c r="AJ975" s="57"/>
      <c r="AK975" s="57"/>
      <c r="AL975" s="57"/>
      <c r="AM975" s="57"/>
      <c r="AN975" s="57"/>
      <c r="AO975" s="57"/>
      <c r="AP975" s="57"/>
      <c r="AQ975" s="57"/>
      <c r="AR975" s="57"/>
      <c r="AS975" s="57"/>
      <c r="AT975" s="57"/>
      <c r="AU975" s="58">
        <f t="shared" si="15"/>
        <v>51.052143500000057</v>
      </c>
      <c r="AV975" s="58"/>
    </row>
    <row r="976" spans="1:48" ht="13.5" customHeight="1">
      <c r="A976" s="82">
        <v>974</v>
      </c>
      <c r="B976" s="85">
        <v>1025</v>
      </c>
      <c r="C976" s="85" t="s">
        <v>39</v>
      </c>
      <c r="D976" s="175">
        <v>211.5025</v>
      </c>
      <c r="F976" s="45">
        <v>400</v>
      </c>
      <c r="G976" s="45">
        <v>87.952650000000006</v>
      </c>
      <c r="H976" s="56">
        <v>211.5025</v>
      </c>
      <c r="I976" s="116">
        <v>211.5025</v>
      </c>
      <c r="J976" s="148">
        <v>0</v>
      </c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  <c r="Z976" s="57"/>
      <c r="AA976" s="57"/>
      <c r="AB976" s="57"/>
      <c r="AC976" s="57"/>
      <c r="AD976" s="57"/>
      <c r="AE976" s="57"/>
      <c r="AF976" s="57"/>
      <c r="AG976" s="57"/>
      <c r="AH976" s="57"/>
      <c r="AI976" s="57"/>
      <c r="AJ976" s="57"/>
      <c r="AK976" s="57"/>
      <c r="AL976" s="57"/>
      <c r="AM976" s="57"/>
      <c r="AN976" s="57"/>
      <c r="AO976" s="57"/>
      <c r="AP976" s="57"/>
      <c r="AQ976" s="57"/>
      <c r="AR976" s="57"/>
      <c r="AS976" s="57"/>
      <c r="AT976" s="57"/>
      <c r="AU976" s="58">
        <f t="shared" si="15"/>
        <v>211.5025</v>
      </c>
      <c r="AV976" s="58"/>
    </row>
    <row r="977" spans="1:48" ht="13.5" customHeight="1">
      <c r="A977" s="84">
        <v>975</v>
      </c>
      <c r="B977" s="85">
        <v>1026</v>
      </c>
      <c r="C977" s="85" t="s">
        <v>39</v>
      </c>
      <c r="D977" s="175">
        <v>2</v>
      </c>
      <c r="F977" s="45">
        <v>320</v>
      </c>
      <c r="G977" s="45">
        <v>140.49773999999999</v>
      </c>
      <c r="H977" s="56">
        <v>2</v>
      </c>
      <c r="I977" s="116">
        <v>2</v>
      </c>
      <c r="J977" s="148">
        <v>0</v>
      </c>
      <c r="K977" s="57"/>
      <c r="L977" s="57"/>
      <c r="M977" s="57"/>
      <c r="N977" s="57"/>
      <c r="O977" s="57"/>
      <c r="P977" s="57"/>
      <c r="Q977" s="57"/>
      <c r="R977" s="57"/>
      <c r="S977" s="57"/>
      <c r="T977" s="57"/>
      <c r="U977" s="57"/>
      <c r="V977" s="57"/>
      <c r="W977" s="57"/>
      <c r="X977" s="57"/>
      <c r="Y977" s="57"/>
      <c r="Z977" s="57"/>
      <c r="AA977" s="57"/>
      <c r="AB977" s="57"/>
      <c r="AC977" s="57"/>
      <c r="AD977" s="57"/>
      <c r="AE977" s="57"/>
      <c r="AF977" s="57"/>
      <c r="AG977" s="57"/>
      <c r="AH977" s="57"/>
      <c r="AI977" s="57"/>
      <c r="AJ977" s="57"/>
      <c r="AK977" s="57"/>
      <c r="AL977" s="57"/>
      <c r="AM977" s="57"/>
      <c r="AN977" s="57"/>
      <c r="AO977" s="57"/>
      <c r="AP977" s="57"/>
      <c r="AQ977" s="57"/>
      <c r="AR977" s="57"/>
      <c r="AS977" s="57"/>
      <c r="AT977" s="57"/>
      <c r="AU977" s="58">
        <f t="shared" si="15"/>
        <v>2</v>
      </c>
      <c r="AV977" s="58"/>
    </row>
    <row r="978" spans="1:48" ht="13.5" customHeight="1">
      <c r="A978" s="82">
        <v>976</v>
      </c>
      <c r="B978" s="85">
        <v>1029</v>
      </c>
      <c r="C978" s="85" t="s">
        <v>39</v>
      </c>
      <c r="D978" s="175">
        <v>-116.92749125</v>
      </c>
      <c r="F978" s="45">
        <v>250</v>
      </c>
      <c r="G978" s="45">
        <v>62.814</v>
      </c>
      <c r="H978" s="56">
        <v>-91.927491250000003</v>
      </c>
      <c r="I978" s="56">
        <v>-91.927491250000003</v>
      </c>
      <c r="J978" s="148">
        <v>0</v>
      </c>
      <c r="K978" s="57"/>
      <c r="L978" s="57"/>
      <c r="M978" s="57"/>
      <c r="N978" s="57"/>
      <c r="O978" s="57"/>
      <c r="P978" s="57">
        <v>25</v>
      </c>
      <c r="Q978" s="57"/>
      <c r="R978" s="57"/>
      <c r="S978" s="57"/>
      <c r="T978" s="57"/>
      <c r="U978" s="57"/>
      <c r="V978" s="57"/>
      <c r="W978" s="57"/>
      <c r="X978" s="57"/>
      <c r="Y978" s="57"/>
      <c r="Z978" s="57"/>
      <c r="AA978" s="57"/>
      <c r="AB978" s="57"/>
      <c r="AC978" s="57"/>
      <c r="AD978" s="57"/>
      <c r="AE978" s="57"/>
      <c r="AF978" s="57"/>
      <c r="AG978" s="57"/>
      <c r="AH978" s="57"/>
      <c r="AI978" s="57"/>
      <c r="AJ978" s="57"/>
      <c r="AK978" s="57"/>
      <c r="AL978" s="57"/>
      <c r="AM978" s="57"/>
      <c r="AN978" s="57"/>
      <c r="AO978" s="57"/>
      <c r="AP978" s="57"/>
      <c r="AQ978" s="57"/>
      <c r="AR978" s="57"/>
      <c r="AS978" s="57"/>
      <c r="AT978" s="57"/>
      <c r="AU978" s="58">
        <f t="shared" si="15"/>
        <v>-116.92749125</v>
      </c>
      <c r="AV978" s="58"/>
    </row>
    <row r="979" spans="1:48" ht="13.5" customHeight="1">
      <c r="A979" s="84">
        <v>977</v>
      </c>
      <c r="B979" s="85">
        <v>1030</v>
      </c>
      <c r="C979" s="85" t="s">
        <v>39</v>
      </c>
      <c r="D979" s="175">
        <v>-61.587930000000028</v>
      </c>
      <c r="F979" s="45">
        <v>250</v>
      </c>
      <c r="G979" s="45">
        <v>95.7</v>
      </c>
      <c r="H979" s="56">
        <v>-61.587930000000028</v>
      </c>
      <c r="I979" s="56">
        <v>-61.587930000000028</v>
      </c>
      <c r="J979" s="148">
        <v>0</v>
      </c>
      <c r="K979" s="57"/>
      <c r="L979" s="57"/>
      <c r="M979" s="57"/>
      <c r="N979" s="57"/>
      <c r="O979" s="57"/>
      <c r="P979" s="57"/>
      <c r="Q979" s="57"/>
      <c r="R979" s="57"/>
      <c r="S979" s="57"/>
      <c r="T979" s="57"/>
      <c r="U979" s="57"/>
      <c r="V979" s="57"/>
      <c r="W979" s="57"/>
      <c r="X979" s="57"/>
      <c r="Y979" s="57"/>
      <c r="Z979" s="57"/>
      <c r="AA979" s="57"/>
      <c r="AB979" s="57"/>
      <c r="AC979" s="57"/>
      <c r="AD979" s="57"/>
      <c r="AE979" s="57"/>
      <c r="AF979" s="57"/>
      <c r="AG979" s="57"/>
      <c r="AH979" s="57"/>
      <c r="AI979" s="57"/>
      <c r="AJ979" s="57"/>
      <c r="AK979" s="57"/>
      <c r="AL979" s="57"/>
      <c r="AM979" s="57"/>
      <c r="AN979" s="57"/>
      <c r="AO979" s="57"/>
      <c r="AP979" s="57"/>
      <c r="AQ979" s="57"/>
      <c r="AR979" s="57"/>
      <c r="AS979" s="57"/>
      <c r="AT979" s="57"/>
      <c r="AU979" s="58">
        <f t="shared" si="15"/>
        <v>-61.587930000000028</v>
      </c>
      <c r="AV979" s="58"/>
    </row>
    <row r="980" spans="1:48" ht="13.5" customHeight="1">
      <c r="A980" s="84">
        <v>978</v>
      </c>
      <c r="B980" s="85">
        <v>1031</v>
      </c>
      <c r="C980" s="85" t="s">
        <v>39</v>
      </c>
      <c r="D980" s="175">
        <v>-497.9096212500001</v>
      </c>
      <c r="F980" s="45">
        <v>400</v>
      </c>
      <c r="G980" s="45">
        <v>85.216499999999996</v>
      </c>
      <c r="H980" s="56">
        <v>-197.9096212500001</v>
      </c>
      <c r="I980" s="56">
        <v>-197.9096212500001</v>
      </c>
      <c r="J980" s="148">
        <v>0</v>
      </c>
      <c r="K980" s="57"/>
      <c r="L980" s="57"/>
      <c r="M980" s="57"/>
      <c r="N980" s="57"/>
      <c r="O980" s="57"/>
      <c r="P980" s="57"/>
      <c r="Q980" s="57"/>
      <c r="R980" s="57"/>
      <c r="S980" s="57"/>
      <c r="T980" s="57"/>
      <c r="U980" s="57"/>
      <c r="V980" s="57"/>
      <c r="W980" s="57">
        <v>150</v>
      </c>
      <c r="X980" s="57">
        <v>150</v>
      </c>
      <c r="Y980" s="57"/>
      <c r="Z980" s="57"/>
      <c r="AA980" s="57"/>
      <c r="AB980" s="57"/>
      <c r="AC980" s="57"/>
      <c r="AD980" s="57"/>
      <c r="AE980" s="57"/>
      <c r="AF980" s="57"/>
      <c r="AG980" s="57"/>
      <c r="AH980" s="57"/>
      <c r="AI980" s="57"/>
      <c r="AJ980" s="57"/>
      <c r="AK980" s="57"/>
      <c r="AL980" s="57"/>
      <c r="AM980" s="57"/>
      <c r="AN980" s="57"/>
      <c r="AO980" s="57"/>
      <c r="AP980" s="57"/>
      <c r="AQ980" s="57"/>
      <c r="AR980" s="57"/>
      <c r="AS980" s="57"/>
      <c r="AT980" s="57"/>
      <c r="AU980" s="58">
        <f t="shared" si="15"/>
        <v>-497.9096212500001</v>
      </c>
      <c r="AV980" s="58"/>
    </row>
    <row r="981" spans="1:48" ht="13.5" customHeight="1">
      <c r="A981" s="82">
        <v>979</v>
      </c>
      <c r="B981" s="85">
        <v>1032</v>
      </c>
      <c r="C981" s="85" t="s">
        <v>39</v>
      </c>
      <c r="D981" s="175">
        <v>-21.791471249999972</v>
      </c>
      <c r="F981" s="45">
        <v>400</v>
      </c>
      <c r="G981" s="45">
        <v>122.39855999999999</v>
      </c>
      <c r="H981" s="56">
        <v>123.20852875000003</v>
      </c>
      <c r="I981" s="56">
        <v>123.20852875000003</v>
      </c>
      <c r="J981" s="148">
        <v>0</v>
      </c>
      <c r="K981" s="57"/>
      <c r="L981" s="57"/>
      <c r="M981" s="57"/>
      <c r="N981" s="57"/>
      <c r="O981" s="57"/>
      <c r="P981" s="57"/>
      <c r="Q981" s="57"/>
      <c r="R981" s="57"/>
      <c r="S981" s="57"/>
      <c r="T981" s="57"/>
      <c r="U981" s="57"/>
      <c r="V981" s="57"/>
      <c r="W981" s="57"/>
      <c r="X981" s="57"/>
      <c r="Y981" s="57"/>
      <c r="Z981" s="57"/>
      <c r="AA981" s="57"/>
      <c r="AB981" s="57"/>
      <c r="AC981" s="57"/>
      <c r="AD981" s="57"/>
      <c r="AE981" s="57"/>
      <c r="AF981" s="57"/>
      <c r="AG981" s="57"/>
      <c r="AH981" s="57"/>
      <c r="AI981" s="57"/>
      <c r="AJ981" s="57"/>
      <c r="AK981" s="57"/>
      <c r="AL981" s="57"/>
      <c r="AM981" s="57"/>
      <c r="AN981" s="57"/>
      <c r="AO981" s="57"/>
      <c r="AP981" s="57"/>
      <c r="AQ981" s="57">
        <v>145</v>
      </c>
      <c r="AR981" s="57"/>
      <c r="AS981" s="57"/>
      <c r="AT981" s="57"/>
      <c r="AU981" s="58">
        <f t="shared" si="15"/>
        <v>-21.791471249999972</v>
      </c>
      <c r="AV981" s="58"/>
    </row>
    <row r="982" spans="1:48" ht="13.5" customHeight="1">
      <c r="A982" s="84">
        <v>980</v>
      </c>
      <c r="B982" s="85">
        <v>1033</v>
      </c>
      <c r="C982" s="85" t="s">
        <v>39</v>
      </c>
      <c r="D982" s="175">
        <v>22.6</v>
      </c>
      <c r="F982" s="45">
        <v>560</v>
      </c>
      <c r="G982" s="45">
        <v>454.35750000000002</v>
      </c>
      <c r="H982" s="56">
        <v>22.6</v>
      </c>
      <c r="I982" s="56">
        <v>22.6</v>
      </c>
      <c r="J982" s="148">
        <v>0</v>
      </c>
      <c r="K982" s="57"/>
      <c r="L982" s="57"/>
      <c r="M982" s="57"/>
      <c r="N982" s="57"/>
      <c r="O982" s="57"/>
      <c r="P982" s="57"/>
      <c r="Q982" s="57"/>
      <c r="R982" s="57"/>
      <c r="S982" s="57"/>
      <c r="T982" s="57"/>
      <c r="U982" s="57"/>
      <c r="V982" s="57"/>
      <c r="W982" s="57"/>
      <c r="X982" s="57"/>
      <c r="Y982" s="57"/>
      <c r="Z982" s="57"/>
      <c r="AA982" s="57"/>
      <c r="AB982" s="57"/>
      <c r="AC982" s="57"/>
      <c r="AD982" s="57"/>
      <c r="AE982" s="57"/>
      <c r="AF982" s="57"/>
      <c r="AG982" s="57"/>
      <c r="AH982" s="57"/>
      <c r="AI982" s="57"/>
      <c r="AJ982" s="57"/>
      <c r="AK982" s="57"/>
      <c r="AL982" s="57"/>
      <c r="AM982" s="57"/>
      <c r="AN982" s="57"/>
      <c r="AO982" s="57"/>
      <c r="AP982" s="57"/>
      <c r="AQ982" s="57"/>
      <c r="AR982" s="57"/>
      <c r="AS982" s="57"/>
      <c r="AT982" s="57"/>
      <c r="AU982" s="58">
        <f t="shared" si="15"/>
        <v>22.6</v>
      </c>
      <c r="AV982" s="58"/>
    </row>
    <row r="983" spans="1:48" ht="13.5" customHeight="1">
      <c r="A983" s="82">
        <v>981</v>
      </c>
      <c r="B983" s="85">
        <v>1034</v>
      </c>
      <c r="C983" s="85" t="s">
        <v>39</v>
      </c>
      <c r="D983" s="175">
        <v>-682.90349999999989</v>
      </c>
      <c r="F983" s="45">
        <v>882</v>
      </c>
      <c r="G983" s="45">
        <v>938.81699999999989</v>
      </c>
      <c r="H983" s="56">
        <v>-487.60349999999994</v>
      </c>
      <c r="I983" s="56">
        <v>-487.60349999999994</v>
      </c>
      <c r="J983" s="148">
        <v>0</v>
      </c>
      <c r="K983" s="57"/>
      <c r="L983" s="57"/>
      <c r="M983" s="57">
        <v>179.3</v>
      </c>
      <c r="N983" s="57"/>
      <c r="O983" s="57"/>
      <c r="P983" s="57"/>
      <c r="Q983" s="57"/>
      <c r="R983" s="57"/>
      <c r="S983" s="57"/>
      <c r="T983" s="57"/>
      <c r="U983" s="57">
        <v>16</v>
      </c>
      <c r="V983" s="57"/>
      <c r="W983" s="57"/>
      <c r="X983" s="57"/>
      <c r="Y983" s="57"/>
      <c r="Z983" s="57"/>
      <c r="AA983" s="57"/>
      <c r="AB983" s="57"/>
      <c r="AC983" s="57"/>
      <c r="AD983" s="57"/>
      <c r="AE983" s="57"/>
      <c r="AF983" s="57"/>
      <c r="AG983" s="57"/>
      <c r="AH983" s="57"/>
      <c r="AI983" s="57"/>
      <c r="AJ983" s="57"/>
      <c r="AK983" s="57"/>
      <c r="AL983" s="57"/>
      <c r="AM983" s="57"/>
      <c r="AN983" s="57"/>
      <c r="AO983" s="57"/>
      <c r="AP983" s="57"/>
      <c r="AQ983" s="57"/>
      <c r="AR983" s="57"/>
      <c r="AS983" s="57"/>
      <c r="AT983" s="57"/>
      <c r="AU983" s="58">
        <f t="shared" si="15"/>
        <v>-682.90349999999989</v>
      </c>
      <c r="AV983" s="58"/>
    </row>
    <row r="984" spans="1:48" ht="13.5" customHeight="1">
      <c r="A984" s="84">
        <v>982</v>
      </c>
      <c r="B984" s="85">
        <v>1035</v>
      </c>
      <c r="C984" s="85" t="s">
        <v>39</v>
      </c>
      <c r="D984" s="176">
        <v>-345.48172499999998</v>
      </c>
      <c r="F984" s="45">
        <v>882</v>
      </c>
      <c r="G984" s="45">
        <v>283.85699999999991</v>
      </c>
      <c r="H984" s="116">
        <v>94.518275000000017</v>
      </c>
      <c r="I984" s="116">
        <v>94.518275000000017</v>
      </c>
      <c r="J984" s="149">
        <v>0</v>
      </c>
      <c r="K984" s="119"/>
      <c r="L984" s="119"/>
      <c r="M984" s="119"/>
      <c r="N984" s="119"/>
      <c r="O984" s="119"/>
      <c r="P984" s="119"/>
      <c r="Q984" s="119"/>
      <c r="R984" s="119"/>
      <c r="S984" s="119"/>
      <c r="T984" s="119"/>
      <c r="U984" s="119"/>
      <c r="V984" s="119"/>
      <c r="W984" s="119">
        <v>300</v>
      </c>
      <c r="X984" s="119"/>
      <c r="Y984" s="119"/>
      <c r="Z984" s="119"/>
      <c r="AA984" s="119"/>
      <c r="AB984" s="119"/>
      <c r="AC984" s="119"/>
      <c r="AD984" s="119"/>
      <c r="AE984" s="119"/>
      <c r="AF984" s="119"/>
      <c r="AG984" s="119"/>
      <c r="AH984" s="119"/>
      <c r="AI984" s="119">
        <v>140</v>
      </c>
      <c r="AJ984" s="119"/>
      <c r="AK984" s="119"/>
      <c r="AL984" s="165"/>
      <c r="AM984" s="165"/>
      <c r="AN984" s="165"/>
      <c r="AO984" s="165"/>
      <c r="AP984" s="165"/>
      <c r="AQ984" s="165"/>
      <c r="AR984" s="165"/>
      <c r="AS984" s="165"/>
      <c r="AT984" s="165"/>
      <c r="AU984" s="58">
        <f t="shared" si="15"/>
        <v>-345.48172499999998</v>
      </c>
      <c r="AV984" s="58"/>
    </row>
    <row r="985" spans="1:48" ht="13.5" customHeight="1">
      <c r="A985" s="84">
        <v>983</v>
      </c>
      <c r="B985" s="85">
        <v>1036</v>
      </c>
      <c r="C985" s="85" t="s">
        <v>39</v>
      </c>
      <c r="D985" s="175">
        <v>-236.80299999999988</v>
      </c>
      <c r="F985" s="45">
        <v>160</v>
      </c>
      <c r="G985" s="45">
        <v>104.4</v>
      </c>
      <c r="H985" s="56">
        <v>-41.802999999999884</v>
      </c>
      <c r="I985" s="56">
        <v>-41.802999999999884</v>
      </c>
      <c r="J985" s="148">
        <v>0</v>
      </c>
      <c r="K985" s="57"/>
      <c r="L985" s="57"/>
      <c r="M985" s="57">
        <v>100</v>
      </c>
      <c r="N985" s="57"/>
      <c r="O985" s="57"/>
      <c r="P985" s="57"/>
      <c r="Q985" s="57"/>
      <c r="R985" s="57"/>
      <c r="S985" s="57"/>
      <c r="T985" s="57"/>
      <c r="U985" s="57"/>
      <c r="V985" s="57"/>
      <c r="W985" s="57"/>
      <c r="X985" s="57"/>
      <c r="Y985" s="57">
        <v>95</v>
      </c>
      <c r="Z985" s="57"/>
      <c r="AA985" s="57"/>
      <c r="AB985" s="57"/>
      <c r="AC985" s="57"/>
      <c r="AD985" s="57"/>
      <c r="AE985" s="57"/>
      <c r="AF985" s="57"/>
      <c r="AG985" s="57"/>
      <c r="AH985" s="57"/>
      <c r="AI985" s="57"/>
      <c r="AJ985" s="57"/>
      <c r="AK985" s="57"/>
      <c r="AL985" s="57"/>
      <c r="AM985" s="57"/>
      <c r="AN985" s="57"/>
      <c r="AO985" s="57"/>
      <c r="AP985" s="57"/>
      <c r="AQ985" s="57"/>
      <c r="AR985" s="57"/>
      <c r="AS985" s="57"/>
      <c r="AT985" s="57"/>
      <c r="AU985" s="58">
        <f t="shared" si="15"/>
        <v>-236.80299999999988</v>
      </c>
      <c r="AV985" s="58"/>
    </row>
    <row r="986" spans="1:48" ht="13.5" customHeight="1">
      <c r="A986" s="82">
        <v>984</v>
      </c>
      <c r="B986" s="85">
        <v>1038</v>
      </c>
      <c r="C986" s="85" t="s">
        <v>39</v>
      </c>
      <c r="D986" s="175">
        <v>-855.30866000000015</v>
      </c>
      <c r="F986" s="45">
        <v>250</v>
      </c>
      <c r="G986" s="45">
        <v>21.764488979999999</v>
      </c>
      <c r="H986" s="56">
        <v>-339.60866000000016</v>
      </c>
      <c r="I986" s="56">
        <v>-178.30866000000015</v>
      </c>
      <c r="J986" s="148">
        <v>161.30000000000001</v>
      </c>
      <c r="K986" s="57"/>
      <c r="L986" s="57"/>
      <c r="M986" s="57">
        <v>95</v>
      </c>
      <c r="N986" s="57"/>
      <c r="O986" s="57"/>
      <c r="P986" s="57"/>
      <c r="Q986" s="57"/>
      <c r="R986" s="57"/>
      <c r="S986" s="57"/>
      <c r="T986" s="57">
        <v>120</v>
      </c>
      <c r="U986" s="57"/>
      <c r="V986" s="57"/>
      <c r="W986" s="57"/>
      <c r="X986" s="57"/>
      <c r="Y986" s="57"/>
      <c r="Z986" s="57"/>
      <c r="AA986" s="57"/>
      <c r="AB986" s="57"/>
      <c r="AC986" s="57"/>
      <c r="AD986" s="57"/>
      <c r="AE986" s="57"/>
      <c r="AF986" s="57"/>
      <c r="AG986" s="57"/>
      <c r="AH986" s="57"/>
      <c r="AI986" s="57"/>
      <c r="AJ986" s="57"/>
      <c r="AK986" s="57"/>
      <c r="AL986" s="57"/>
      <c r="AM986" s="57"/>
      <c r="AN986" s="57"/>
      <c r="AO986" s="57">
        <v>300.7</v>
      </c>
      <c r="AP986" s="57"/>
      <c r="AQ986" s="57"/>
      <c r="AR986" s="57"/>
      <c r="AS986" s="57"/>
      <c r="AT986" s="57"/>
      <c r="AU986" s="58">
        <f t="shared" si="15"/>
        <v>-855.30866000000015</v>
      </c>
      <c r="AV986" s="58"/>
    </row>
    <row r="987" spans="1:48" ht="13.5" customHeight="1">
      <c r="A987" s="84">
        <v>985</v>
      </c>
      <c r="B987" s="85">
        <v>1040</v>
      </c>
      <c r="C987" s="85" t="s">
        <v>39</v>
      </c>
      <c r="D987" s="175">
        <v>-398.89408000000003</v>
      </c>
      <c r="F987" s="45">
        <v>882</v>
      </c>
      <c r="G987" s="45">
        <v>328.88800000000003</v>
      </c>
      <c r="H987" s="56">
        <v>-62.894080000000031</v>
      </c>
      <c r="I987" s="56">
        <v>-62.894080000000031</v>
      </c>
      <c r="J987" s="148">
        <v>0</v>
      </c>
      <c r="K987" s="57"/>
      <c r="L987" s="57"/>
      <c r="M987" s="57"/>
      <c r="N987" s="57"/>
      <c r="O987" s="57"/>
      <c r="P987" s="57"/>
      <c r="Q987" s="57"/>
      <c r="R987" s="57">
        <v>265</v>
      </c>
      <c r="S987" s="57"/>
      <c r="T987" s="57"/>
      <c r="U987" s="57"/>
      <c r="V987" s="57"/>
      <c r="W987" s="57"/>
      <c r="X987" s="57"/>
      <c r="Y987" s="57"/>
      <c r="Z987" s="57"/>
      <c r="AA987" s="57"/>
      <c r="AB987" s="57"/>
      <c r="AC987" s="57"/>
      <c r="AD987" s="57"/>
      <c r="AE987" s="57"/>
      <c r="AF987" s="57"/>
      <c r="AG987" s="57"/>
      <c r="AH987" s="57"/>
      <c r="AI987" s="57"/>
      <c r="AJ987" s="57"/>
      <c r="AK987" s="57"/>
      <c r="AL987" s="57">
        <v>30</v>
      </c>
      <c r="AM987" s="57"/>
      <c r="AN987" s="57">
        <v>20</v>
      </c>
      <c r="AO987" s="57"/>
      <c r="AP987" s="57"/>
      <c r="AQ987" s="57"/>
      <c r="AR987" s="57"/>
      <c r="AS987" s="57">
        <v>21</v>
      </c>
      <c r="AT987" s="57"/>
      <c r="AU987" s="58">
        <f t="shared" si="15"/>
        <v>-398.89408000000003</v>
      </c>
      <c r="AV987" s="58"/>
    </row>
    <row r="988" spans="1:48" ht="13.5" customHeight="1">
      <c r="A988" s="82">
        <v>986</v>
      </c>
      <c r="B988" s="85">
        <v>1042</v>
      </c>
      <c r="C988" s="85" t="s">
        <v>39</v>
      </c>
      <c r="D988" s="175">
        <v>73.361099999999965</v>
      </c>
      <c r="F988" s="45">
        <v>400</v>
      </c>
      <c r="G988" s="45">
        <v>94.523325</v>
      </c>
      <c r="H988" s="56">
        <v>73.361099999999965</v>
      </c>
      <c r="I988" s="56">
        <v>73.361099999999965</v>
      </c>
      <c r="J988" s="148">
        <v>0</v>
      </c>
      <c r="K988" s="57"/>
      <c r="L988" s="57"/>
      <c r="M988" s="57"/>
      <c r="N988" s="57"/>
      <c r="O988" s="57"/>
      <c r="P988" s="57"/>
      <c r="Q988" s="57"/>
      <c r="R988" s="57"/>
      <c r="S988" s="57"/>
      <c r="T988" s="57"/>
      <c r="U988" s="57"/>
      <c r="V988" s="57"/>
      <c r="W988" s="57"/>
      <c r="X988" s="57"/>
      <c r="Y988" s="57"/>
      <c r="Z988" s="57"/>
      <c r="AA988" s="57"/>
      <c r="AB988" s="57"/>
      <c r="AC988" s="57"/>
      <c r="AD988" s="57"/>
      <c r="AE988" s="57"/>
      <c r="AF988" s="57"/>
      <c r="AG988" s="57"/>
      <c r="AH988" s="57"/>
      <c r="AI988" s="57"/>
      <c r="AJ988" s="57"/>
      <c r="AK988" s="57"/>
      <c r="AL988" s="57"/>
      <c r="AM988" s="57"/>
      <c r="AN988" s="57"/>
      <c r="AO988" s="57"/>
      <c r="AP988" s="57"/>
      <c r="AQ988" s="57"/>
      <c r="AR988" s="57"/>
      <c r="AS988" s="57"/>
      <c r="AT988" s="57"/>
      <c r="AU988" s="58">
        <f t="shared" si="15"/>
        <v>73.361099999999965</v>
      </c>
      <c r="AV988" s="58"/>
    </row>
    <row r="989" spans="1:48" ht="13.5" customHeight="1">
      <c r="A989" s="84">
        <v>987</v>
      </c>
      <c r="B989" s="85">
        <v>1043</v>
      </c>
      <c r="C989" s="85" t="s">
        <v>39</v>
      </c>
      <c r="D989" s="175">
        <v>-34.72400000000016</v>
      </c>
      <c r="F989" s="45">
        <v>160</v>
      </c>
      <c r="G989" s="45">
        <v>143.72399999999999</v>
      </c>
      <c r="H989" s="56">
        <v>-34.72400000000016</v>
      </c>
      <c r="I989" s="56">
        <v>-34.72400000000016</v>
      </c>
      <c r="J989" s="148">
        <v>0</v>
      </c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  <c r="AA989" s="57"/>
      <c r="AB989" s="57"/>
      <c r="AC989" s="57"/>
      <c r="AD989" s="57"/>
      <c r="AE989" s="57"/>
      <c r="AF989" s="57"/>
      <c r="AG989" s="57"/>
      <c r="AH989" s="57"/>
      <c r="AI989" s="57"/>
      <c r="AJ989" s="57"/>
      <c r="AK989" s="57"/>
      <c r="AL989" s="57"/>
      <c r="AM989" s="57"/>
      <c r="AN989" s="57"/>
      <c r="AO989" s="57"/>
      <c r="AP989" s="57"/>
      <c r="AQ989" s="57"/>
      <c r="AR989" s="57"/>
      <c r="AS989" s="57"/>
      <c r="AT989" s="57"/>
      <c r="AU989" s="58">
        <f t="shared" si="15"/>
        <v>-34.72400000000016</v>
      </c>
      <c r="AV989" s="58"/>
    </row>
    <row r="990" spans="1:48" ht="13.5" customHeight="1">
      <c r="A990" s="84">
        <v>988</v>
      </c>
      <c r="B990" s="85">
        <v>1044</v>
      </c>
      <c r="C990" s="85" t="s">
        <v>39</v>
      </c>
      <c r="D990" s="175">
        <v>46.382180000000005</v>
      </c>
      <c r="F990" s="45">
        <v>400</v>
      </c>
      <c r="G990" s="45">
        <v>112.153875</v>
      </c>
      <c r="H990" s="56">
        <v>46.382180000000005</v>
      </c>
      <c r="I990" s="56">
        <v>46.382180000000005</v>
      </c>
      <c r="J990" s="148">
        <v>0</v>
      </c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  <c r="AA990" s="57"/>
      <c r="AB990" s="57"/>
      <c r="AC990" s="57"/>
      <c r="AD990" s="57"/>
      <c r="AE990" s="57"/>
      <c r="AF990" s="57"/>
      <c r="AG990" s="57"/>
      <c r="AH990" s="57"/>
      <c r="AI990" s="57"/>
      <c r="AJ990" s="57"/>
      <c r="AK990" s="57"/>
      <c r="AL990" s="57"/>
      <c r="AM990" s="57"/>
      <c r="AN990" s="57"/>
      <c r="AO990" s="57"/>
      <c r="AP990" s="57"/>
      <c r="AQ990" s="57"/>
      <c r="AR990" s="57"/>
      <c r="AS990" s="57"/>
      <c r="AT990" s="57"/>
      <c r="AU990" s="58">
        <f t="shared" si="15"/>
        <v>46.382180000000005</v>
      </c>
      <c r="AV990" s="58"/>
    </row>
    <row r="991" spans="1:48" ht="13.5" customHeight="1">
      <c r="A991" s="82">
        <v>989</v>
      </c>
      <c r="B991" s="85">
        <v>1045</v>
      </c>
      <c r="C991" s="85" t="s">
        <v>39</v>
      </c>
      <c r="D991" s="175">
        <v>85.001625000000018</v>
      </c>
      <c r="F991" s="45">
        <v>882</v>
      </c>
      <c r="G991" s="45">
        <v>1209.2955999999999</v>
      </c>
      <c r="H991" s="56">
        <v>101.00162500000002</v>
      </c>
      <c r="I991" s="56">
        <v>101.00162500000002</v>
      </c>
      <c r="J991" s="149">
        <v>0</v>
      </c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  <c r="AA991" s="57"/>
      <c r="AB991" s="57"/>
      <c r="AC991" s="57"/>
      <c r="AD991" s="57"/>
      <c r="AE991" s="57"/>
      <c r="AF991" s="57"/>
      <c r="AG991" s="57"/>
      <c r="AH991" s="57"/>
      <c r="AI991" s="57"/>
      <c r="AJ991" s="57">
        <v>16</v>
      </c>
      <c r="AK991" s="57"/>
      <c r="AL991" s="57"/>
      <c r="AM991" s="57"/>
      <c r="AN991" s="57"/>
      <c r="AO991" s="57"/>
      <c r="AP991" s="57"/>
      <c r="AQ991" s="57"/>
      <c r="AR991" s="57"/>
      <c r="AS991" s="57"/>
      <c r="AT991" s="57"/>
      <c r="AU991" s="58">
        <f t="shared" si="15"/>
        <v>85.001625000000018</v>
      </c>
      <c r="AV991" s="58"/>
    </row>
    <row r="992" spans="1:48" ht="13.5" customHeight="1">
      <c r="A992" s="84">
        <v>990</v>
      </c>
      <c r="B992" s="85">
        <v>1046</v>
      </c>
      <c r="C992" s="85" t="s">
        <v>39</v>
      </c>
      <c r="D992" s="175">
        <v>-30.615360000000038</v>
      </c>
      <c r="F992" s="45">
        <v>882</v>
      </c>
      <c r="G992" s="45">
        <v>651.27908897999998</v>
      </c>
      <c r="H992" s="56">
        <v>15.384639999999962</v>
      </c>
      <c r="I992" s="56">
        <v>15.384639999999962</v>
      </c>
      <c r="J992" s="148">
        <v>0</v>
      </c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  <c r="AA992" s="57"/>
      <c r="AB992" s="57"/>
      <c r="AC992" s="57"/>
      <c r="AD992" s="57"/>
      <c r="AE992" s="57">
        <v>16</v>
      </c>
      <c r="AF992" s="57">
        <v>30</v>
      </c>
      <c r="AG992" s="57"/>
      <c r="AH992" s="57"/>
      <c r="AI992" s="57"/>
      <c r="AJ992" s="57"/>
      <c r="AK992" s="57"/>
      <c r="AL992" s="57"/>
      <c r="AM992" s="57"/>
      <c r="AN992" s="57"/>
      <c r="AO992" s="57"/>
      <c r="AP992" s="57"/>
      <c r="AQ992" s="57"/>
      <c r="AR992" s="57"/>
      <c r="AS992" s="57"/>
      <c r="AT992" s="57"/>
      <c r="AU992" s="58">
        <f t="shared" si="15"/>
        <v>-30.615360000000038</v>
      </c>
      <c r="AV992" s="58"/>
    </row>
    <row r="993" spans="1:48" ht="13.5" customHeight="1">
      <c r="A993" s="82">
        <v>991</v>
      </c>
      <c r="B993" s="85">
        <v>1050</v>
      </c>
      <c r="C993" s="85" t="s">
        <v>39</v>
      </c>
      <c r="D993" s="175">
        <v>-42.671999999999912</v>
      </c>
      <c r="F993" s="45">
        <v>560</v>
      </c>
      <c r="G993" s="45">
        <v>395.85</v>
      </c>
      <c r="H993" s="56">
        <v>-42.671999999999912</v>
      </c>
      <c r="I993" s="56">
        <v>-42.671999999999912</v>
      </c>
      <c r="J993" s="148">
        <v>0</v>
      </c>
      <c r="K993" s="57"/>
      <c r="L993" s="57"/>
      <c r="M993" s="57"/>
      <c r="N993" s="57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  <c r="AA993" s="57"/>
      <c r="AB993" s="57"/>
      <c r="AC993" s="57"/>
      <c r="AD993" s="57"/>
      <c r="AE993" s="57"/>
      <c r="AF993" s="57"/>
      <c r="AG993" s="57"/>
      <c r="AH993" s="57"/>
      <c r="AI993" s="57"/>
      <c r="AJ993" s="57"/>
      <c r="AK993" s="57"/>
      <c r="AL993" s="57"/>
      <c r="AM993" s="57"/>
      <c r="AN993" s="57"/>
      <c r="AO993" s="57"/>
      <c r="AP993" s="57"/>
      <c r="AQ993" s="57"/>
      <c r="AR993" s="57"/>
      <c r="AS993" s="57"/>
      <c r="AT993" s="57"/>
      <c r="AU993" s="58">
        <f t="shared" si="15"/>
        <v>-42.671999999999912</v>
      </c>
      <c r="AV993" s="58"/>
    </row>
    <row r="994" spans="1:48" ht="13.5" customHeight="1">
      <c r="A994" s="84">
        <v>992</v>
      </c>
      <c r="B994" s="85">
        <v>1053</v>
      </c>
      <c r="C994" s="85" t="s">
        <v>39</v>
      </c>
      <c r="D994" s="175">
        <v>362.05930000405999</v>
      </c>
      <c r="F994" s="45">
        <v>160</v>
      </c>
      <c r="G994" s="45">
        <v>72.905999999999992</v>
      </c>
      <c r="H994" s="56">
        <v>362.05930000405999</v>
      </c>
      <c r="I994" s="56">
        <v>362.05930000405999</v>
      </c>
      <c r="J994" s="148">
        <v>0</v>
      </c>
      <c r="K994" s="57"/>
      <c r="L994" s="57"/>
      <c r="M994" s="57"/>
      <c r="N994" s="57"/>
      <c r="O994" s="57"/>
      <c r="P994" s="57"/>
      <c r="Q994" s="57"/>
      <c r="R994" s="57"/>
      <c r="S994" s="57"/>
      <c r="T994" s="57"/>
      <c r="U994" s="57"/>
      <c r="V994" s="57"/>
      <c r="W994" s="57"/>
      <c r="X994" s="57"/>
      <c r="Y994" s="57"/>
      <c r="Z994" s="57"/>
      <c r="AA994" s="57"/>
      <c r="AB994" s="57"/>
      <c r="AC994" s="57"/>
      <c r="AD994" s="57"/>
      <c r="AE994" s="57"/>
      <c r="AF994" s="57"/>
      <c r="AG994" s="57"/>
      <c r="AH994" s="57"/>
      <c r="AI994" s="57"/>
      <c r="AJ994" s="57"/>
      <c r="AK994" s="57"/>
      <c r="AL994" s="57"/>
      <c r="AM994" s="57"/>
      <c r="AN994" s="57"/>
      <c r="AO994" s="57"/>
      <c r="AP994" s="57"/>
      <c r="AQ994" s="57"/>
      <c r="AR994" s="57"/>
      <c r="AS994" s="57"/>
      <c r="AT994" s="57"/>
      <c r="AU994" s="58">
        <f t="shared" si="15"/>
        <v>362.05930000405999</v>
      </c>
      <c r="AV994" s="58"/>
    </row>
    <row r="995" spans="1:48" ht="13.5" customHeight="1">
      <c r="A995" s="84">
        <v>993</v>
      </c>
      <c r="B995" s="85">
        <v>1066</v>
      </c>
      <c r="C995" s="85" t="s">
        <v>39</v>
      </c>
      <c r="D995" s="175">
        <v>-213.50399999999991</v>
      </c>
      <c r="F995" s="45">
        <v>882</v>
      </c>
      <c r="G995" s="45">
        <v>475.86840000000001</v>
      </c>
      <c r="H995" s="56">
        <v>-53.503999999999905</v>
      </c>
      <c r="I995" s="56">
        <v>-53.503999999999905</v>
      </c>
      <c r="J995" s="148">
        <v>0</v>
      </c>
      <c r="K995" s="57">
        <v>40</v>
      </c>
      <c r="L995" s="57"/>
      <c r="M995" s="57"/>
      <c r="N995" s="57"/>
      <c r="O995" s="57"/>
      <c r="P995" s="57"/>
      <c r="Q995" s="57"/>
      <c r="R995" s="57"/>
      <c r="S995" s="57"/>
      <c r="T995" s="57"/>
      <c r="U995" s="57"/>
      <c r="V995" s="57">
        <v>30</v>
      </c>
      <c r="W995" s="57"/>
      <c r="X995" s="57"/>
      <c r="Y995" s="57"/>
      <c r="Z995" s="57"/>
      <c r="AA995" s="57"/>
      <c r="AB995" s="57"/>
      <c r="AC995" s="57"/>
      <c r="AD995" s="57"/>
      <c r="AE995" s="57"/>
      <c r="AF995" s="57">
        <v>45</v>
      </c>
      <c r="AG995" s="57"/>
      <c r="AH995" s="57"/>
      <c r="AI995" s="57"/>
      <c r="AJ995" s="57"/>
      <c r="AK995" s="57"/>
      <c r="AL995" s="57"/>
      <c r="AM995" s="57"/>
      <c r="AN995" s="57"/>
      <c r="AO995" s="57"/>
      <c r="AP995" s="57"/>
      <c r="AQ995" s="57"/>
      <c r="AR995" s="57">
        <v>45</v>
      </c>
      <c r="AS995" s="57"/>
      <c r="AT995" s="57"/>
      <c r="AU995" s="58">
        <f t="shared" si="15"/>
        <v>-213.50399999999991</v>
      </c>
      <c r="AV995" s="58"/>
    </row>
    <row r="996" spans="1:48" ht="13.5" customHeight="1">
      <c r="A996" s="82">
        <v>994</v>
      </c>
      <c r="B996" s="85">
        <v>1069</v>
      </c>
      <c r="C996" s="85" t="s">
        <v>39</v>
      </c>
      <c r="D996" s="175">
        <v>372.73400000000015</v>
      </c>
      <c r="F996" s="45">
        <v>882</v>
      </c>
      <c r="G996" s="45">
        <v>150.91999999999999</v>
      </c>
      <c r="H996" s="56">
        <v>372.73400000000015</v>
      </c>
      <c r="I996" s="56">
        <v>372.73400000000015</v>
      </c>
      <c r="J996" s="148">
        <v>0</v>
      </c>
      <c r="K996" s="57"/>
      <c r="L996" s="57"/>
      <c r="M996" s="57"/>
      <c r="N996" s="57"/>
      <c r="O996" s="57"/>
      <c r="P996" s="57"/>
      <c r="Q996" s="57"/>
      <c r="R996" s="57"/>
      <c r="S996" s="57"/>
      <c r="T996" s="57"/>
      <c r="U996" s="57"/>
      <c r="V996" s="57"/>
      <c r="W996" s="57"/>
      <c r="X996" s="57"/>
      <c r="Y996" s="57"/>
      <c r="Z996" s="57"/>
      <c r="AA996" s="57"/>
      <c r="AB996" s="57"/>
      <c r="AC996" s="57"/>
      <c r="AD996" s="57"/>
      <c r="AE996" s="57"/>
      <c r="AF996" s="57"/>
      <c r="AG996" s="57"/>
      <c r="AH996" s="57"/>
      <c r="AI996" s="57"/>
      <c r="AJ996" s="57"/>
      <c r="AK996" s="57"/>
      <c r="AL996" s="57"/>
      <c r="AM996" s="57"/>
      <c r="AN996" s="57"/>
      <c r="AO996" s="57"/>
      <c r="AP996" s="57"/>
      <c r="AQ996" s="57"/>
      <c r="AR996" s="57"/>
      <c r="AS996" s="57"/>
      <c r="AT996" s="57"/>
      <c r="AU996" s="58">
        <f t="shared" si="15"/>
        <v>372.73400000000015</v>
      </c>
      <c r="AV996" s="58"/>
    </row>
    <row r="997" spans="1:48" ht="13.5" customHeight="1">
      <c r="A997" s="84">
        <v>995</v>
      </c>
      <c r="B997" s="85">
        <v>1079</v>
      </c>
      <c r="C997" s="85" t="s">
        <v>39</v>
      </c>
      <c r="D997" s="175">
        <v>180.32499999999999</v>
      </c>
      <c r="F997" s="45">
        <v>882</v>
      </c>
      <c r="G997" s="45">
        <v>448.44800000000004</v>
      </c>
      <c r="H997" s="56">
        <v>180.32499999999999</v>
      </c>
      <c r="I997" s="56">
        <v>180.32499999999999</v>
      </c>
      <c r="J997" s="148">
        <v>0</v>
      </c>
      <c r="K997" s="57"/>
      <c r="L997" s="57"/>
      <c r="M997" s="57"/>
      <c r="N997" s="57"/>
      <c r="O997" s="57"/>
      <c r="P997" s="57"/>
      <c r="Q997" s="57"/>
      <c r="R997" s="57"/>
      <c r="S997" s="57"/>
      <c r="T997" s="57"/>
      <c r="U997" s="57"/>
      <c r="V997" s="57"/>
      <c r="W997" s="57"/>
      <c r="X997" s="57"/>
      <c r="Y997" s="57"/>
      <c r="Z997" s="57"/>
      <c r="AA997" s="57"/>
      <c r="AB997" s="57"/>
      <c r="AC997" s="57"/>
      <c r="AD997" s="57"/>
      <c r="AE997" s="57"/>
      <c r="AF997" s="57"/>
      <c r="AG997" s="57"/>
      <c r="AH997" s="57"/>
      <c r="AI997" s="57"/>
      <c r="AJ997" s="57"/>
      <c r="AK997" s="57"/>
      <c r="AL997" s="57"/>
      <c r="AM997" s="57"/>
      <c r="AN997" s="57"/>
      <c r="AO997" s="57"/>
      <c r="AP997" s="57"/>
      <c r="AQ997" s="57"/>
      <c r="AR997" s="57"/>
      <c r="AS997" s="57"/>
      <c r="AT997" s="57"/>
      <c r="AU997" s="58">
        <f t="shared" si="15"/>
        <v>180.32499999999999</v>
      </c>
      <c r="AV997" s="58"/>
    </row>
    <row r="998" spans="1:48" ht="13.5" customHeight="1">
      <c r="A998" s="82">
        <v>996</v>
      </c>
      <c r="B998" s="85">
        <v>1091</v>
      </c>
      <c r="C998" s="85" t="s">
        <v>39</v>
      </c>
      <c r="D998" s="175">
        <v>121.60000000000002</v>
      </c>
      <c r="F998" s="45">
        <v>250</v>
      </c>
      <c r="G998" s="45">
        <v>200.1</v>
      </c>
      <c r="H998" s="56">
        <v>121.60000000000002</v>
      </c>
      <c r="I998" s="56">
        <v>121.60000000000002</v>
      </c>
      <c r="J998" s="148">
        <v>0</v>
      </c>
      <c r="K998" s="57"/>
      <c r="L998" s="57"/>
      <c r="M998" s="57"/>
      <c r="N998" s="57"/>
      <c r="O998" s="57"/>
      <c r="P998" s="57"/>
      <c r="Q998" s="57"/>
      <c r="R998" s="57"/>
      <c r="S998" s="57"/>
      <c r="T998" s="57"/>
      <c r="U998" s="57"/>
      <c r="V998" s="57"/>
      <c r="W998" s="57"/>
      <c r="X998" s="57"/>
      <c r="Y998" s="57"/>
      <c r="Z998" s="57"/>
      <c r="AA998" s="57"/>
      <c r="AB998" s="57"/>
      <c r="AC998" s="57"/>
      <c r="AD998" s="57"/>
      <c r="AE998" s="57"/>
      <c r="AF998" s="57"/>
      <c r="AG998" s="57"/>
      <c r="AH998" s="57"/>
      <c r="AI998" s="57"/>
      <c r="AJ998" s="57"/>
      <c r="AK998" s="57"/>
      <c r="AL998" s="57"/>
      <c r="AM998" s="57"/>
      <c r="AN998" s="57"/>
      <c r="AO998" s="57"/>
      <c r="AP998" s="57"/>
      <c r="AQ998" s="57"/>
      <c r="AR998" s="57"/>
      <c r="AS998" s="57"/>
      <c r="AT998" s="57"/>
      <c r="AU998" s="58">
        <f t="shared" si="15"/>
        <v>121.60000000000002</v>
      </c>
      <c r="AV998" s="58"/>
    </row>
    <row r="999" spans="1:48" ht="13.5" customHeight="1">
      <c r="A999" s="84">
        <v>997</v>
      </c>
      <c r="B999" s="85">
        <v>1097</v>
      </c>
      <c r="C999" s="85" t="s">
        <v>39</v>
      </c>
      <c r="D999" s="175">
        <v>209.39</v>
      </c>
      <c r="F999" s="45">
        <v>160</v>
      </c>
      <c r="G999" s="45">
        <v>95.7</v>
      </c>
      <c r="H999" s="56">
        <v>209.39</v>
      </c>
      <c r="I999" s="56">
        <v>209.39</v>
      </c>
      <c r="J999" s="148">
        <v>0</v>
      </c>
      <c r="K999" s="57"/>
      <c r="L999" s="57"/>
      <c r="M999" s="57"/>
      <c r="N999" s="57"/>
      <c r="O999" s="57"/>
      <c r="P999" s="57"/>
      <c r="Q999" s="57"/>
      <c r="R999" s="57"/>
      <c r="S999" s="57"/>
      <c r="T999" s="57"/>
      <c r="U999" s="57"/>
      <c r="V999" s="57"/>
      <c r="W999" s="57"/>
      <c r="X999" s="57"/>
      <c r="Y999" s="57"/>
      <c r="Z999" s="57"/>
      <c r="AA999" s="57"/>
      <c r="AB999" s="57"/>
      <c r="AC999" s="57"/>
      <c r="AD999" s="57"/>
      <c r="AE999" s="57"/>
      <c r="AF999" s="57"/>
      <c r="AG999" s="57"/>
      <c r="AH999" s="57"/>
      <c r="AI999" s="57"/>
      <c r="AJ999" s="57"/>
      <c r="AK999" s="57"/>
      <c r="AL999" s="57"/>
      <c r="AM999" s="57"/>
      <c r="AN999" s="57"/>
      <c r="AO999" s="57"/>
      <c r="AP999" s="57"/>
      <c r="AQ999" s="57"/>
      <c r="AR999" s="57"/>
      <c r="AS999" s="57"/>
      <c r="AT999" s="57"/>
      <c r="AU999" s="58">
        <f t="shared" si="15"/>
        <v>209.39</v>
      </c>
      <c r="AV999" s="58"/>
    </row>
    <row r="1000" spans="1:48" ht="13.5" customHeight="1">
      <c r="A1000" s="84">
        <v>998</v>
      </c>
      <c r="B1000" s="85">
        <v>1100</v>
      </c>
      <c r="C1000" s="85" t="s">
        <v>39</v>
      </c>
      <c r="D1000" s="175">
        <v>-1258.6500000000001</v>
      </c>
      <c r="E1000" s="167"/>
      <c r="F1000" s="167"/>
      <c r="G1000" s="167"/>
      <c r="H1000" s="166"/>
      <c r="I1000" s="166">
        <v>882</v>
      </c>
      <c r="J1000" s="166">
        <v>2100.65</v>
      </c>
      <c r="K1000" s="168"/>
      <c r="L1000" s="168"/>
      <c r="M1000" s="168"/>
      <c r="N1000" s="168"/>
      <c r="O1000" s="168"/>
      <c r="P1000" s="168"/>
      <c r="Q1000" s="168"/>
      <c r="R1000" s="168"/>
      <c r="S1000" s="168"/>
      <c r="T1000" s="168"/>
      <c r="U1000" s="168"/>
      <c r="V1000" s="168"/>
      <c r="W1000" s="168"/>
      <c r="X1000" s="168"/>
      <c r="Y1000" s="168"/>
      <c r="Z1000" s="168"/>
      <c r="AA1000" s="168"/>
      <c r="AB1000" s="168"/>
      <c r="AC1000" s="168"/>
      <c r="AD1000" s="168"/>
      <c r="AE1000" s="168"/>
      <c r="AF1000" s="168"/>
      <c r="AG1000" s="168"/>
      <c r="AH1000" s="168"/>
      <c r="AI1000" s="168"/>
      <c r="AJ1000" s="168"/>
      <c r="AK1000" s="168"/>
      <c r="AL1000" s="168">
        <v>40</v>
      </c>
      <c r="AM1000" s="168"/>
      <c r="AN1000" s="168"/>
      <c r="AO1000" s="168"/>
      <c r="AP1000" s="168"/>
      <c r="AQ1000" s="168"/>
      <c r="AR1000" s="168"/>
      <c r="AS1000" s="168"/>
      <c r="AT1000" s="168"/>
      <c r="AU1000" s="58">
        <f t="shared" si="15"/>
        <v>-1258.6500000000001</v>
      </c>
      <c r="AV1000" s="58"/>
    </row>
    <row r="1001" spans="1:48" ht="13.5" customHeight="1">
      <c r="A1001" s="82">
        <v>999</v>
      </c>
      <c r="B1001" s="85">
        <v>1103</v>
      </c>
      <c r="C1001" s="85" t="s">
        <v>39</v>
      </c>
      <c r="D1001" s="175">
        <v>130.74</v>
      </c>
      <c r="F1001" s="45">
        <v>160</v>
      </c>
      <c r="G1001" s="45">
        <v>78.3</v>
      </c>
      <c r="H1001" s="56">
        <v>328.52</v>
      </c>
      <c r="I1001" s="56">
        <v>328.52</v>
      </c>
      <c r="J1001" s="148">
        <v>0</v>
      </c>
      <c r="K1001" s="57"/>
      <c r="L1001" s="57"/>
      <c r="M1001" s="57"/>
      <c r="N1001" s="57"/>
      <c r="O1001" s="57">
        <v>48.78</v>
      </c>
      <c r="P1001" s="57"/>
      <c r="Q1001" s="57">
        <v>149</v>
      </c>
      <c r="R1001" s="57"/>
      <c r="S1001" s="57"/>
      <c r="T1001" s="57"/>
      <c r="U1001" s="57"/>
      <c r="V1001" s="57"/>
      <c r="W1001" s="57"/>
      <c r="X1001" s="57"/>
      <c r="Y1001" s="57"/>
      <c r="Z1001" s="57"/>
      <c r="AA1001" s="57"/>
      <c r="AB1001" s="57"/>
      <c r="AC1001" s="57"/>
      <c r="AD1001" s="57"/>
      <c r="AE1001" s="57"/>
      <c r="AF1001" s="57"/>
      <c r="AG1001" s="57"/>
      <c r="AH1001" s="57"/>
      <c r="AI1001" s="57"/>
      <c r="AJ1001" s="57"/>
      <c r="AK1001" s="57"/>
      <c r="AL1001" s="57"/>
      <c r="AM1001" s="57"/>
      <c r="AN1001" s="57"/>
      <c r="AO1001" s="57"/>
      <c r="AP1001" s="57"/>
      <c r="AQ1001" s="57"/>
      <c r="AR1001" s="57"/>
      <c r="AS1001" s="57"/>
      <c r="AT1001" s="57"/>
      <c r="AU1001" s="58">
        <f t="shared" si="15"/>
        <v>130.74</v>
      </c>
      <c r="AV1001" s="58"/>
    </row>
    <row r="1002" spans="1:48" ht="13.5" customHeight="1">
      <c r="A1002" s="84">
        <v>1000</v>
      </c>
      <c r="B1002" s="85">
        <v>1109</v>
      </c>
      <c r="C1002" s="85" t="s">
        <v>39</v>
      </c>
      <c r="D1002" s="175">
        <v>224.08315000000005</v>
      </c>
      <c r="F1002" s="45">
        <v>160</v>
      </c>
      <c r="G1002" s="45">
        <v>78.3</v>
      </c>
      <c r="H1002" s="56">
        <v>224.08315000000005</v>
      </c>
      <c r="I1002" s="56">
        <v>224.08315000000005</v>
      </c>
      <c r="J1002" s="148">
        <v>0</v>
      </c>
      <c r="K1002" s="57"/>
      <c r="L1002" s="57"/>
      <c r="M1002" s="57"/>
      <c r="N1002" s="57"/>
      <c r="O1002" s="57"/>
      <c r="P1002" s="57"/>
      <c r="Q1002" s="57"/>
      <c r="R1002" s="57"/>
      <c r="S1002" s="57"/>
      <c r="T1002" s="57"/>
      <c r="U1002" s="57"/>
      <c r="V1002" s="57"/>
      <c r="W1002" s="57"/>
      <c r="X1002" s="57"/>
      <c r="Y1002" s="57"/>
      <c r="Z1002" s="57"/>
      <c r="AA1002" s="57"/>
      <c r="AB1002" s="57"/>
      <c r="AC1002" s="57"/>
      <c r="AD1002" s="57"/>
      <c r="AE1002" s="57"/>
      <c r="AF1002" s="57"/>
      <c r="AG1002" s="57"/>
      <c r="AH1002" s="57"/>
      <c r="AI1002" s="57"/>
      <c r="AJ1002" s="57"/>
      <c r="AK1002" s="57"/>
      <c r="AL1002" s="57"/>
      <c r="AM1002" s="57"/>
      <c r="AN1002" s="57"/>
      <c r="AO1002" s="57"/>
      <c r="AP1002" s="57"/>
      <c r="AQ1002" s="57"/>
      <c r="AR1002" s="57"/>
      <c r="AS1002" s="57"/>
      <c r="AT1002" s="57"/>
      <c r="AU1002" s="58">
        <f t="shared" si="15"/>
        <v>224.08315000000005</v>
      </c>
      <c r="AV1002" s="58"/>
    </row>
    <row r="1003" spans="1:48" ht="13.5" customHeight="1">
      <c r="A1003" s="82">
        <v>1001</v>
      </c>
      <c r="B1003" s="85">
        <v>1115</v>
      </c>
      <c r="C1003" s="85" t="s">
        <v>39</v>
      </c>
      <c r="D1003" s="175">
        <v>268.1232</v>
      </c>
      <c r="F1003" s="45">
        <v>250</v>
      </c>
      <c r="G1003" s="45">
        <v>57.42</v>
      </c>
      <c r="H1003" s="56">
        <v>328.1232</v>
      </c>
      <c r="I1003" s="56">
        <v>328.1232</v>
      </c>
      <c r="J1003" s="148">
        <v>0</v>
      </c>
      <c r="K1003" s="57"/>
      <c r="L1003" s="57"/>
      <c r="M1003" s="57"/>
      <c r="N1003" s="57"/>
      <c r="O1003" s="57"/>
      <c r="P1003" s="57"/>
      <c r="Q1003" s="57"/>
      <c r="R1003" s="57"/>
      <c r="S1003" s="57"/>
      <c r="T1003" s="57"/>
      <c r="U1003" s="57"/>
      <c r="V1003" s="57"/>
      <c r="W1003" s="57"/>
      <c r="X1003" s="57"/>
      <c r="Y1003" s="57"/>
      <c r="Z1003" s="57"/>
      <c r="AA1003" s="57"/>
      <c r="AB1003" s="57"/>
      <c r="AC1003" s="57"/>
      <c r="AD1003" s="57"/>
      <c r="AE1003" s="57"/>
      <c r="AF1003" s="57"/>
      <c r="AG1003" s="57"/>
      <c r="AH1003" s="57"/>
      <c r="AI1003" s="57">
        <v>60</v>
      </c>
      <c r="AJ1003" s="57"/>
      <c r="AK1003" s="57"/>
      <c r="AL1003" s="57"/>
      <c r="AM1003" s="57"/>
      <c r="AN1003" s="57"/>
      <c r="AO1003" s="57"/>
      <c r="AP1003" s="57"/>
      <c r="AQ1003" s="57"/>
      <c r="AR1003" s="57"/>
      <c r="AS1003" s="57"/>
      <c r="AT1003" s="57"/>
      <c r="AU1003" s="58">
        <f t="shared" si="15"/>
        <v>268.1232</v>
      </c>
      <c r="AV1003" s="58"/>
    </row>
    <row r="1004" spans="1:48" ht="13.5" customHeight="1">
      <c r="A1004" s="84">
        <v>1002</v>
      </c>
      <c r="B1004" s="85">
        <v>1122</v>
      </c>
      <c r="C1004" s="85" t="s">
        <v>39</v>
      </c>
      <c r="D1004" s="175">
        <v>120.04986</v>
      </c>
      <c r="F1004" s="45">
        <v>560</v>
      </c>
      <c r="G1004" s="45">
        <v>330.6</v>
      </c>
      <c r="H1004" s="56">
        <v>120.04986</v>
      </c>
      <c r="I1004" s="56">
        <v>120.04986</v>
      </c>
      <c r="J1004" s="148">
        <v>0</v>
      </c>
      <c r="K1004" s="57"/>
      <c r="L1004" s="57"/>
      <c r="M1004" s="57"/>
      <c r="N1004" s="57"/>
      <c r="O1004" s="57"/>
      <c r="P1004" s="57"/>
      <c r="Q1004" s="57"/>
      <c r="R1004" s="57"/>
      <c r="S1004" s="57"/>
      <c r="T1004" s="57"/>
      <c r="U1004" s="57"/>
      <c r="V1004" s="57"/>
      <c r="W1004" s="57"/>
      <c r="X1004" s="57"/>
      <c r="Y1004" s="57"/>
      <c r="Z1004" s="57"/>
      <c r="AA1004" s="57"/>
      <c r="AB1004" s="57"/>
      <c r="AC1004" s="57"/>
      <c r="AD1004" s="57"/>
      <c r="AE1004" s="57"/>
      <c r="AF1004" s="57"/>
      <c r="AG1004" s="57"/>
      <c r="AH1004" s="57"/>
      <c r="AI1004" s="57"/>
      <c r="AJ1004" s="57"/>
      <c r="AK1004" s="57"/>
      <c r="AL1004" s="57"/>
      <c r="AM1004" s="57"/>
      <c r="AN1004" s="57"/>
      <c r="AO1004" s="57"/>
      <c r="AP1004" s="57"/>
      <c r="AQ1004" s="57"/>
      <c r="AR1004" s="57"/>
      <c r="AS1004" s="57"/>
      <c r="AT1004" s="57"/>
      <c r="AU1004" s="58">
        <f t="shared" si="15"/>
        <v>120.04986</v>
      </c>
      <c r="AV1004" s="58"/>
    </row>
    <row r="1005" spans="1:48" ht="13.5" customHeight="1">
      <c r="A1005" s="84">
        <v>1003</v>
      </c>
      <c r="B1005" s="85">
        <v>1125</v>
      </c>
      <c r="C1005" s="85" t="s">
        <v>39</v>
      </c>
      <c r="D1005" s="175">
        <v>516.42544999999996</v>
      </c>
      <c r="F1005" s="45">
        <v>160</v>
      </c>
      <c r="G1005" s="45">
        <v>69.165000000000006</v>
      </c>
      <c r="H1005" s="56">
        <v>516.42544999999996</v>
      </c>
      <c r="I1005" s="56">
        <v>516.42544999999996</v>
      </c>
      <c r="J1005" s="148">
        <v>0</v>
      </c>
      <c r="K1005" s="57"/>
      <c r="L1005" s="57"/>
      <c r="M1005" s="57"/>
      <c r="N1005" s="57"/>
      <c r="O1005" s="57"/>
      <c r="P1005" s="57"/>
      <c r="Q1005" s="57"/>
      <c r="R1005" s="57"/>
      <c r="S1005" s="57"/>
      <c r="T1005" s="57"/>
      <c r="U1005" s="57"/>
      <c r="V1005" s="57"/>
      <c r="W1005" s="57"/>
      <c r="X1005" s="57"/>
      <c r="Y1005" s="57"/>
      <c r="Z1005" s="57"/>
      <c r="AA1005" s="57"/>
      <c r="AB1005" s="57"/>
      <c r="AC1005" s="57"/>
      <c r="AD1005" s="57"/>
      <c r="AE1005" s="57"/>
      <c r="AF1005" s="57"/>
      <c r="AG1005" s="57"/>
      <c r="AH1005" s="57"/>
      <c r="AI1005" s="57"/>
      <c r="AJ1005" s="57"/>
      <c r="AK1005" s="57"/>
      <c r="AL1005" s="57"/>
      <c r="AM1005" s="57"/>
      <c r="AN1005" s="57"/>
      <c r="AO1005" s="57"/>
      <c r="AP1005" s="57"/>
      <c r="AQ1005" s="57"/>
      <c r="AR1005" s="57"/>
      <c r="AS1005" s="57"/>
      <c r="AT1005" s="57"/>
      <c r="AU1005" s="58">
        <f t="shared" si="15"/>
        <v>516.42544999999996</v>
      </c>
      <c r="AV1005" s="58"/>
    </row>
    <row r="1006" spans="1:48" ht="13.5" customHeight="1">
      <c r="A1006" s="82">
        <v>1004</v>
      </c>
      <c r="B1006" s="85">
        <v>1126</v>
      </c>
      <c r="C1006" s="85" t="s">
        <v>39</v>
      </c>
      <c r="D1006" s="175">
        <v>189.221825</v>
      </c>
      <c r="F1006" s="45">
        <v>160</v>
      </c>
      <c r="G1006" s="45">
        <v>82.823999999999984</v>
      </c>
      <c r="H1006" s="56">
        <v>214.221825</v>
      </c>
      <c r="I1006" s="56">
        <v>214.221825</v>
      </c>
      <c r="J1006" s="148">
        <v>0</v>
      </c>
      <c r="K1006" s="57"/>
      <c r="L1006" s="57"/>
      <c r="M1006" s="57"/>
      <c r="N1006" s="57"/>
      <c r="O1006" s="57"/>
      <c r="P1006" s="57"/>
      <c r="Q1006" s="57"/>
      <c r="R1006" s="57"/>
      <c r="S1006" s="57"/>
      <c r="T1006" s="57"/>
      <c r="U1006" s="57"/>
      <c r="V1006" s="57"/>
      <c r="W1006" s="57"/>
      <c r="X1006" s="57"/>
      <c r="Y1006" s="57"/>
      <c r="Z1006" s="57"/>
      <c r="AA1006" s="57"/>
      <c r="AB1006" s="57"/>
      <c r="AC1006" s="57"/>
      <c r="AD1006" s="57"/>
      <c r="AE1006" s="57"/>
      <c r="AF1006" s="57"/>
      <c r="AG1006" s="57"/>
      <c r="AH1006" s="57"/>
      <c r="AI1006" s="57"/>
      <c r="AJ1006" s="57"/>
      <c r="AK1006" s="57"/>
      <c r="AL1006" s="57"/>
      <c r="AM1006" s="57"/>
      <c r="AN1006" s="57"/>
      <c r="AO1006" s="57"/>
      <c r="AP1006" s="57"/>
      <c r="AQ1006" s="57"/>
      <c r="AR1006" s="57">
        <v>25</v>
      </c>
      <c r="AS1006" s="57"/>
      <c r="AT1006" s="57"/>
      <c r="AU1006" s="58">
        <f t="shared" si="15"/>
        <v>189.221825</v>
      </c>
      <c r="AV1006" s="58"/>
    </row>
    <row r="1007" spans="1:48" ht="13.5" customHeight="1">
      <c r="A1007" s="84">
        <v>1005</v>
      </c>
      <c r="B1007" s="85">
        <v>1130</v>
      </c>
      <c r="C1007" s="85" t="s">
        <v>39</v>
      </c>
      <c r="D1007" s="175">
        <v>342.55607500000002</v>
      </c>
      <c r="F1007" s="45">
        <v>160</v>
      </c>
      <c r="G1007" s="45">
        <v>20.88</v>
      </c>
      <c r="H1007" s="56">
        <v>342.55607500000002</v>
      </c>
      <c r="I1007" s="56">
        <v>342.55607500000002</v>
      </c>
      <c r="J1007" s="148">
        <v>0</v>
      </c>
      <c r="K1007" s="57"/>
      <c r="L1007" s="57"/>
      <c r="M1007" s="57"/>
      <c r="N1007" s="57"/>
      <c r="O1007" s="57"/>
      <c r="P1007" s="57"/>
      <c r="Q1007" s="57"/>
      <c r="R1007" s="57"/>
      <c r="S1007" s="57"/>
      <c r="T1007" s="57"/>
      <c r="U1007" s="57"/>
      <c r="V1007" s="57"/>
      <c r="W1007" s="57"/>
      <c r="X1007" s="57"/>
      <c r="Y1007" s="57"/>
      <c r="Z1007" s="57"/>
      <c r="AA1007" s="57"/>
      <c r="AB1007" s="57"/>
      <c r="AC1007" s="57"/>
      <c r="AD1007" s="57"/>
      <c r="AE1007" s="57"/>
      <c r="AF1007" s="57"/>
      <c r="AG1007" s="57"/>
      <c r="AH1007" s="57"/>
      <c r="AI1007" s="57"/>
      <c r="AJ1007" s="57"/>
      <c r="AK1007" s="57"/>
      <c r="AL1007" s="57"/>
      <c r="AM1007" s="57"/>
      <c r="AN1007" s="57"/>
      <c r="AO1007" s="57"/>
      <c r="AP1007" s="57"/>
      <c r="AQ1007" s="57"/>
      <c r="AR1007" s="57"/>
      <c r="AS1007" s="57"/>
      <c r="AT1007" s="57"/>
      <c r="AU1007" s="58">
        <f t="shared" si="15"/>
        <v>342.55607500000002</v>
      </c>
      <c r="AV1007" s="58"/>
    </row>
    <row r="1008" spans="1:48" ht="13.5" customHeight="1">
      <c r="A1008" s="82">
        <v>1006</v>
      </c>
      <c r="B1008" s="85">
        <v>1136</v>
      </c>
      <c r="C1008" s="85" t="s">
        <v>39</v>
      </c>
      <c r="D1008" s="175">
        <v>-57.855999999999995</v>
      </c>
      <c r="F1008" s="45">
        <v>400</v>
      </c>
      <c r="G1008" s="45">
        <v>60.836925000000008</v>
      </c>
      <c r="H1008" s="56">
        <v>-57.855999999999995</v>
      </c>
      <c r="I1008" s="56">
        <v>-57.855999999999995</v>
      </c>
      <c r="J1008" s="148">
        <v>0</v>
      </c>
      <c r="K1008" s="57"/>
      <c r="L1008" s="57"/>
      <c r="M1008" s="57"/>
      <c r="N1008" s="57"/>
      <c r="O1008" s="57"/>
      <c r="P1008" s="57"/>
      <c r="Q1008" s="57"/>
      <c r="R1008" s="57"/>
      <c r="S1008" s="57"/>
      <c r="T1008" s="57"/>
      <c r="U1008" s="57"/>
      <c r="V1008" s="57"/>
      <c r="W1008" s="57"/>
      <c r="X1008" s="57"/>
      <c r="Y1008" s="57"/>
      <c r="Z1008" s="57"/>
      <c r="AA1008" s="57"/>
      <c r="AB1008" s="57"/>
      <c r="AC1008" s="57"/>
      <c r="AD1008" s="57"/>
      <c r="AE1008" s="57"/>
      <c r="AF1008" s="57"/>
      <c r="AG1008" s="57"/>
      <c r="AH1008" s="57"/>
      <c r="AI1008" s="57"/>
      <c r="AJ1008" s="57"/>
      <c r="AK1008" s="57"/>
      <c r="AL1008" s="57"/>
      <c r="AM1008" s="57"/>
      <c r="AN1008" s="57"/>
      <c r="AO1008" s="57"/>
      <c r="AP1008" s="57"/>
      <c r="AQ1008" s="57"/>
      <c r="AR1008" s="57"/>
      <c r="AS1008" s="57"/>
      <c r="AT1008" s="57"/>
      <c r="AU1008" s="58">
        <f t="shared" si="15"/>
        <v>-57.855999999999995</v>
      </c>
      <c r="AV1008" s="58"/>
    </row>
    <row r="1009" spans="1:48" ht="13.5" customHeight="1">
      <c r="A1009" s="84">
        <v>1007</v>
      </c>
      <c r="B1009" s="85">
        <v>1172</v>
      </c>
      <c r="C1009" s="85" t="s">
        <v>39</v>
      </c>
      <c r="D1009" s="175">
        <v>-243.05999999999995</v>
      </c>
      <c r="H1009" s="56"/>
      <c r="I1009" s="56">
        <v>560</v>
      </c>
      <c r="J1009" s="148">
        <v>698.06</v>
      </c>
      <c r="K1009" s="57"/>
      <c r="L1009" s="57"/>
      <c r="M1009" s="57"/>
      <c r="N1009" s="57"/>
      <c r="O1009" s="57"/>
      <c r="P1009" s="57"/>
      <c r="Q1009" s="57"/>
      <c r="R1009" s="57"/>
      <c r="S1009" s="57"/>
      <c r="T1009" s="57"/>
      <c r="U1009" s="57"/>
      <c r="V1009" s="57"/>
      <c r="W1009" s="57"/>
      <c r="X1009" s="57"/>
      <c r="Y1009" s="57"/>
      <c r="Z1009" s="57"/>
      <c r="AA1009" s="57"/>
      <c r="AB1009" s="57"/>
      <c r="AC1009" s="57"/>
      <c r="AD1009" s="57"/>
      <c r="AE1009" s="57"/>
      <c r="AF1009" s="57">
        <v>105</v>
      </c>
      <c r="AG1009" s="57"/>
      <c r="AH1009" s="57"/>
      <c r="AI1009" s="57"/>
      <c r="AJ1009" s="57"/>
      <c r="AK1009" s="57"/>
      <c r="AL1009" s="57"/>
      <c r="AM1009" s="57"/>
      <c r="AN1009" s="57"/>
      <c r="AO1009" s="57"/>
      <c r="AP1009" s="57"/>
      <c r="AQ1009" s="57"/>
      <c r="AR1009" s="57"/>
      <c r="AS1009" s="57"/>
      <c r="AT1009" s="57"/>
      <c r="AU1009" s="58">
        <f t="shared" si="15"/>
        <v>-243.05999999999995</v>
      </c>
      <c r="AV1009" s="58"/>
    </row>
    <row r="1010" spans="1:48" ht="13.5" customHeight="1">
      <c r="A1010" s="84">
        <v>1008</v>
      </c>
      <c r="B1010" s="85">
        <v>1180</v>
      </c>
      <c r="C1010" s="85" t="s">
        <v>39</v>
      </c>
      <c r="D1010" s="175">
        <v>312.04734999999999</v>
      </c>
      <c r="F1010" s="45">
        <v>1400</v>
      </c>
      <c r="G1010" s="45">
        <v>1422.6959999999999</v>
      </c>
      <c r="H1010" s="56">
        <v>312.04734999999999</v>
      </c>
      <c r="I1010" s="56">
        <v>312.04734999999999</v>
      </c>
      <c r="J1010" s="148">
        <v>0</v>
      </c>
      <c r="K1010" s="57"/>
      <c r="L1010" s="57"/>
      <c r="M1010" s="57"/>
      <c r="N1010" s="57"/>
      <c r="O1010" s="57"/>
      <c r="P1010" s="57"/>
      <c r="Q1010" s="57"/>
      <c r="R1010" s="57"/>
      <c r="S1010" s="57"/>
      <c r="T1010" s="57"/>
      <c r="U1010" s="57"/>
      <c r="V1010" s="57"/>
      <c r="W1010" s="57"/>
      <c r="X1010" s="57"/>
      <c r="Y1010" s="57"/>
      <c r="Z1010" s="57"/>
      <c r="AA1010" s="57"/>
      <c r="AB1010" s="57"/>
      <c r="AC1010" s="57"/>
      <c r="AD1010" s="57"/>
      <c r="AE1010" s="57"/>
      <c r="AF1010" s="57"/>
      <c r="AG1010" s="57"/>
      <c r="AH1010" s="57"/>
      <c r="AI1010" s="57"/>
      <c r="AJ1010" s="57"/>
      <c r="AK1010" s="57"/>
      <c r="AL1010" s="57"/>
      <c r="AM1010" s="57"/>
      <c r="AN1010" s="57"/>
      <c r="AO1010" s="57"/>
      <c r="AP1010" s="57"/>
      <c r="AQ1010" s="57"/>
      <c r="AR1010" s="57"/>
      <c r="AS1010" s="57"/>
      <c r="AT1010" s="57"/>
      <c r="AU1010" s="58">
        <f t="shared" si="15"/>
        <v>312.04734999999999</v>
      </c>
      <c r="AV1010" s="58"/>
    </row>
    <row r="1011" spans="1:48" ht="13.5" customHeight="1">
      <c r="A1011" s="82">
        <v>1009</v>
      </c>
      <c r="B1011" s="85">
        <v>1186</v>
      </c>
      <c r="C1011" s="85" t="s">
        <v>39</v>
      </c>
      <c r="D1011" s="175">
        <v>219.7835</v>
      </c>
      <c r="F1011" s="45">
        <v>250</v>
      </c>
      <c r="G1011" s="45">
        <v>108.75</v>
      </c>
      <c r="H1011" s="56">
        <v>299.7835</v>
      </c>
      <c r="I1011" s="56">
        <v>299.7835</v>
      </c>
      <c r="J1011" s="148">
        <v>0</v>
      </c>
      <c r="K1011" s="57"/>
      <c r="L1011" s="57"/>
      <c r="M1011" s="57"/>
      <c r="N1011" s="57"/>
      <c r="O1011" s="57"/>
      <c r="P1011" s="57"/>
      <c r="Q1011" s="57"/>
      <c r="R1011" s="57"/>
      <c r="S1011" s="57"/>
      <c r="T1011" s="57"/>
      <c r="U1011" s="57"/>
      <c r="V1011" s="57">
        <v>80</v>
      </c>
      <c r="W1011" s="57"/>
      <c r="X1011" s="57"/>
      <c r="Y1011" s="57"/>
      <c r="Z1011" s="57"/>
      <c r="AA1011" s="57"/>
      <c r="AB1011" s="57"/>
      <c r="AC1011" s="57"/>
      <c r="AD1011" s="57"/>
      <c r="AE1011" s="57"/>
      <c r="AF1011" s="57"/>
      <c r="AG1011" s="57"/>
      <c r="AH1011" s="57"/>
      <c r="AI1011" s="57"/>
      <c r="AJ1011" s="57"/>
      <c r="AK1011" s="57"/>
      <c r="AL1011" s="57"/>
      <c r="AM1011" s="57"/>
      <c r="AN1011" s="57"/>
      <c r="AO1011" s="57"/>
      <c r="AP1011" s="57"/>
      <c r="AQ1011" s="57"/>
      <c r="AR1011" s="57"/>
      <c r="AS1011" s="57"/>
      <c r="AT1011" s="57"/>
      <c r="AU1011" s="58">
        <f t="shared" si="15"/>
        <v>219.7835</v>
      </c>
      <c r="AV1011" s="58"/>
    </row>
    <row r="1012" spans="1:48" ht="13.5" customHeight="1">
      <c r="A1012" s="84">
        <v>1010</v>
      </c>
      <c r="B1012" s="85">
        <v>1206</v>
      </c>
      <c r="C1012" s="85" t="s">
        <v>39</v>
      </c>
      <c r="D1012" s="175">
        <v>-92.816999999999894</v>
      </c>
      <c r="F1012" s="45">
        <v>560</v>
      </c>
      <c r="G1012" s="45">
        <v>249.28980000000001</v>
      </c>
      <c r="H1012" s="56">
        <v>-56.816999999999894</v>
      </c>
      <c r="I1012" s="56">
        <v>-56.816999999999894</v>
      </c>
      <c r="J1012" s="148">
        <v>0</v>
      </c>
      <c r="K1012" s="57"/>
      <c r="L1012" s="57"/>
      <c r="M1012" s="57"/>
      <c r="N1012" s="57"/>
      <c r="O1012" s="57"/>
      <c r="P1012" s="57"/>
      <c r="Q1012" s="57"/>
      <c r="R1012" s="57"/>
      <c r="S1012" s="57"/>
      <c r="T1012" s="57"/>
      <c r="U1012" s="57"/>
      <c r="V1012" s="57"/>
      <c r="W1012" s="57"/>
      <c r="X1012" s="57"/>
      <c r="Y1012" s="57"/>
      <c r="Z1012" s="57"/>
      <c r="AA1012" s="57"/>
      <c r="AB1012" s="57"/>
      <c r="AC1012" s="57">
        <v>36</v>
      </c>
      <c r="AD1012" s="57"/>
      <c r="AE1012" s="57"/>
      <c r="AF1012" s="57"/>
      <c r="AG1012" s="57"/>
      <c r="AH1012" s="57"/>
      <c r="AI1012" s="57"/>
      <c r="AJ1012" s="57"/>
      <c r="AK1012" s="57"/>
      <c r="AL1012" s="57"/>
      <c r="AM1012" s="57"/>
      <c r="AN1012" s="57"/>
      <c r="AO1012" s="57"/>
      <c r="AP1012" s="57"/>
      <c r="AQ1012" s="57"/>
      <c r="AR1012" s="57"/>
      <c r="AS1012" s="57"/>
      <c r="AT1012" s="57"/>
      <c r="AU1012" s="58">
        <f t="shared" si="15"/>
        <v>-92.816999999999894</v>
      </c>
      <c r="AV1012" s="58"/>
    </row>
    <row r="1013" spans="1:48" ht="13.5" customHeight="1">
      <c r="A1013" s="82">
        <v>1011</v>
      </c>
      <c r="B1013" s="85">
        <v>1214</v>
      </c>
      <c r="C1013" s="85" t="s">
        <v>39</v>
      </c>
      <c r="D1013" s="175">
        <v>100.98999999999997</v>
      </c>
      <c r="H1013" s="56"/>
      <c r="I1013" s="56">
        <v>1400</v>
      </c>
      <c r="J1013" s="148">
        <v>719.21</v>
      </c>
      <c r="K1013" s="57"/>
      <c r="L1013" s="57"/>
      <c r="M1013" s="57"/>
      <c r="N1013" s="57"/>
      <c r="O1013" s="57"/>
      <c r="P1013" s="57"/>
      <c r="Q1013" s="57"/>
      <c r="R1013" s="57"/>
      <c r="S1013" s="57"/>
      <c r="T1013" s="57"/>
      <c r="U1013" s="57"/>
      <c r="V1013" s="57"/>
      <c r="W1013" s="57"/>
      <c r="X1013" s="57"/>
      <c r="Y1013" s="57"/>
      <c r="Z1013" s="57"/>
      <c r="AA1013" s="57"/>
      <c r="AB1013" s="57"/>
      <c r="AC1013" s="57"/>
      <c r="AD1013" s="57"/>
      <c r="AE1013" s="57"/>
      <c r="AF1013" s="57"/>
      <c r="AG1013" s="57">
        <v>513</v>
      </c>
      <c r="AH1013" s="57"/>
      <c r="AI1013" s="57"/>
      <c r="AJ1013" s="57"/>
      <c r="AK1013" s="57"/>
      <c r="AL1013" s="57"/>
      <c r="AM1013" s="57">
        <v>20</v>
      </c>
      <c r="AN1013" s="57"/>
      <c r="AO1013" s="57"/>
      <c r="AP1013" s="57"/>
      <c r="AQ1013" s="57"/>
      <c r="AR1013" s="57"/>
      <c r="AS1013" s="57"/>
      <c r="AT1013" s="57">
        <v>46.8</v>
      </c>
      <c r="AU1013" s="58">
        <f t="shared" si="15"/>
        <v>100.98999999999997</v>
      </c>
      <c r="AV1013" s="58"/>
    </row>
    <row r="1014" spans="1:48" ht="13.5" customHeight="1">
      <c r="A1014" s="84">
        <v>1012</v>
      </c>
      <c r="B1014" s="85">
        <v>1221</v>
      </c>
      <c r="C1014" s="85" t="s">
        <v>39</v>
      </c>
      <c r="D1014" s="175">
        <v>277.476675</v>
      </c>
      <c r="F1014" s="45">
        <v>1400</v>
      </c>
      <c r="G1014" s="45">
        <v>1034.8799999999999</v>
      </c>
      <c r="H1014" s="56">
        <v>277.476675</v>
      </c>
      <c r="I1014" s="56">
        <v>277.476675</v>
      </c>
      <c r="J1014" s="148">
        <v>0</v>
      </c>
      <c r="K1014" s="57"/>
      <c r="L1014" s="57"/>
      <c r="M1014" s="57"/>
      <c r="N1014" s="57"/>
      <c r="O1014" s="57"/>
      <c r="P1014" s="57"/>
      <c r="Q1014" s="57"/>
      <c r="R1014" s="57"/>
      <c r="S1014" s="57"/>
      <c r="T1014" s="57"/>
      <c r="U1014" s="57"/>
      <c r="V1014" s="57"/>
      <c r="W1014" s="57"/>
      <c r="X1014" s="57"/>
      <c r="Y1014" s="57"/>
      <c r="Z1014" s="57"/>
      <c r="AA1014" s="57"/>
      <c r="AB1014" s="57"/>
      <c r="AC1014" s="57"/>
      <c r="AD1014" s="57"/>
      <c r="AE1014" s="57"/>
      <c r="AF1014" s="57"/>
      <c r="AG1014" s="57"/>
      <c r="AH1014" s="57"/>
      <c r="AI1014" s="57"/>
      <c r="AJ1014" s="57"/>
      <c r="AK1014" s="57"/>
      <c r="AL1014" s="57"/>
      <c r="AM1014" s="57"/>
      <c r="AN1014" s="57"/>
      <c r="AO1014" s="57"/>
      <c r="AP1014" s="57"/>
      <c r="AQ1014" s="57"/>
      <c r="AR1014" s="57"/>
      <c r="AS1014" s="57"/>
      <c r="AT1014" s="57"/>
      <c r="AU1014" s="58">
        <f t="shared" si="15"/>
        <v>277.476675</v>
      </c>
      <c r="AV1014" s="58"/>
    </row>
    <row r="1015" spans="1:48" ht="13.5" customHeight="1">
      <c r="A1015" s="84">
        <v>1013</v>
      </c>
      <c r="B1015" s="85">
        <v>1254</v>
      </c>
      <c r="C1015" s="85" t="s">
        <v>39</v>
      </c>
      <c r="D1015" s="175">
        <v>-327.29559999999992</v>
      </c>
      <c r="F1015" s="45">
        <v>1400</v>
      </c>
      <c r="G1015" s="45">
        <v>1025.3733</v>
      </c>
      <c r="H1015" s="56">
        <v>-327.29559999999992</v>
      </c>
      <c r="I1015" s="56">
        <v>-327.29559999999992</v>
      </c>
      <c r="J1015" s="148">
        <v>0</v>
      </c>
      <c r="K1015" s="57"/>
      <c r="L1015" s="57"/>
      <c r="M1015" s="57"/>
      <c r="N1015" s="57"/>
      <c r="O1015" s="57"/>
      <c r="P1015" s="57"/>
      <c r="Q1015" s="57"/>
      <c r="R1015" s="57"/>
      <c r="S1015" s="57"/>
      <c r="T1015" s="57"/>
      <c r="U1015" s="57"/>
      <c r="V1015" s="57"/>
      <c r="W1015" s="57"/>
      <c r="X1015" s="57"/>
      <c r="Y1015" s="57"/>
      <c r="Z1015" s="57"/>
      <c r="AA1015" s="57"/>
      <c r="AB1015" s="57"/>
      <c r="AC1015" s="57"/>
      <c r="AD1015" s="57"/>
      <c r="AE1015" s="57"/>
      <c r="AF1015" s="57"/>
      <c r="AG1015" s="57"/>
      <c r="AH1015" s="57"/>
      <c r="AI1015" s="57"/>
      <c r="AJ1015" s="57"/>
      <c r="AK1015" s="57"/>
      <c r="AL1015" s="57"/>
      <c r="AM1015" s="57"/>
      <c r="AN1015" s="57"/>
      <c r="AO1015" s="57"/>
      <c r="AP1015" s="57"/>
      <c r="AQ1015" s="57"/>
      <c r="AR1015" s="57"/>
      <c r="AS1015" s="57"/>
      <c r="AT1015" s="57"/>
      <c r="AU1015" s="58">
        <f t="shared" si="15"/>
        <v>-327.29559999999992</v>
      </c>
      <c r="AV1015" s="58"/>
    </row>
    <row r="1016" spans="1:48" ht="13.5" customHeight="1">
      <c r="A1016" s="82">
        <v>1014</v>
      </c>
      <c r="B1016" s="85">
        <v>1264</v>
      </c>
      <c r="C1016" s="85" t="s">
        <v>39</v>
      </c>
      <c r="D1016" s="175">
        <v>10.149999999999977</v>
      </c>
      <c r="F1016" s="45">
        <v>1400</v>
      </c>
      <c r="G1016" s="45">
        <v>833</v>
      </c>
      <c r="H1016" s="56">
        <v>10.149999999999977</v>
      </c>
      <c r="I1016" s="56">
        <v>10.149999999999977</v>
      </c>
      <c r="J1016" s="148">
        <v>0</v>
      </c>
      <c r="K1016" s="57"/>
      <c r="L1016" s="57"/>
      <c r="M1016" s="57"/>
      <c r="N1016" s="57"/>
      <c r="O1016" s="57"/>
      <c r="P1016" s="57"/>
      <c r="Q1016" s="57"/>
      <c r="R1016" s="57"/>
      <c r="S1016" s="57"/>
      <c r="T1016" s="57"/>
      <c r="U1016" s="57"/>
      <c r="V1016" s="57"/>
      <c r="W1016" s="57"/>
      <c r="X1016" s="57"/>
      <c r="Y1016" s="57"/>
      <c r="Z1016" s="57"/>
      <c r="AA1016" s="57"/>
      <c r="AB1016" s="57"/>
      <c r="AC1016" s="57"/>
      <c r="AD1016" s="57"/>
      <c r="AE1016" s="57"/>
      <c r="AF1016" s="57"/>
      <c r="AG1016" s="57"/>
      <c r="AH1016" s="57"/>
      <c r="AI1016" s="57"/>
      <c r="AJ1016" s="57"/>
      <c r="AK1016" s="57"/>
      <c r="AL1016" s="57"/>
      <c r="AM1016" s="57"/>
      <c r="AN1016" s="57"/>
      <c r="AO1016" s="57"/>
      <c r="AP1016" s="57"/>
      <c r="AQ1016" s="57"/>
      <c r="AR1016" s="57"/>
      <c r="AS1016" s="57"/>
      <c r="AT1016" s="57"/>
      <c r="AU1016" s="58">
        <f t="shared" si="15"/>
        <v>10.149999999999977</v>
      </c>
      <c r="AV1016" s="58"/>
    </row>
    <row r="1017" spans="1:48" ht="13.5" customHeight="1">
      <c r="A1017" s="84">
        <v>1015</v>
      </c>
      <c r="B1017" s="85">
        <v>1267</v>
      </c>
      <c r="C1017" s="85" t="s">
        <v>39</v>
      </c>
      <c r="D1017" s="175">
        <v>-107.86840000000001</v>
      </c>
      <c r="F1017" s="45">
        <v>560</v>
      </c>
      <c r="G1017" s="45">
        <v>158.76</v>
      </c>
      <c r="H1017" s="56">
        <v>-62.868400000000008</v>
      </c>
      <c r="I1017" s="56">
        <v>-62.868400000000008</v>
      </c>
      <c r="J1017" s="148">
        <v>0</v>
      </c>
      <c r="K1017" s="57"/>
      <c r="L1017" s="57"/>
      <c r="M1017" s="57"/>
      <c r="N1017" s="57"/>
      <c r="O1017" s="57"/>
      <c r="P1017" s="57"/>
      <c r="Q1017" s="57"/>
      <c r="R1017" s="57"/>
      <c r="S1017" s="57"/>
      <c r="T1017" s="57"/>
      <c r="U1017" s="57"/>
      <c r="V1017" s="57"/>
      <c r="W1017" s="57"/>
      <c r="X1017" s="57"/>
      <c r="Y1017" s="57"/>
      <c r="Z1017" s="57"/>
      <c r="AA1017" s="57"/>
      <c r="AB1017" s="57"/>
      <c r="AC1017" s="57"/>
      <c r="AD1017" s="57"/>
      <c r="AE1017" s="57"/>
      <c r="AF1017" s="57"/>
      <c r="AG1017" s="57"/>
      <c r="AH1017" s="57"/>
      <c r="AI1017" s="57"/>
      <c r="AJ1017" s="57"/>
      <c r="AK1017" s="57">
        <v>45</v>
      </c>
      <c r="AL1017" s="57"/>
      <c r="AM1017" s="57"/>
      <c r="AN1017" s="57"/>
      <c r="AO1017" s="57"/>
      <c r="AP1017" s="57"/>
      <c r="AQ1017" s="57"/>
      <c r="AR1017" s="57"/>
      <c r="AS1017" s="57"/>
      <c r="AT1017" s="57"/>
      <c r="AU1017" s="58">
        <f t="shared" si="15"/>
        <v>-107.86840000000001</v>
      </c>
      <c r="AV1017" s="58"/>
    </row>
    <row r="1018" spans="1:48" ht="13.5" customHeight="1">
      <c r="A1018" s="82">
        <v>1016</v>
      </c>
      <c r="B1018" s="85">
        <v>1280</v>
      </c>
      <c r="C1018" s="85" t="s">
        <v>39</v>
      </c>
      <c r="D1018" s="175">
        <v>433.55199999999996</v>
      </c>
      <c r="F1018" s="45">
        <v>882</v>
      </c>
      <c r="G1018" s="45">
        <v>462.56</v>
      </c>
      <c r="H1018" s="56">
        <v>433.55199999999996</v>
      </c>
      <c r="I1018" s="56">
        <v>433.55199999999996</v>
      </c>
      <c r="J1018" s="148">
        <v>0</v>
      </c>
      <c r="K1018" s="57"/>
      <c r="L1018" s="57"/>
      <c r="M1018" s="57"/>
      <c r="N1018" s="57"/>
      <c r="O1018" s="57"/>
      <c r="P1018" s="57"/>
      <c r="Q1018" s="57"/>
      <c r="R1018" s="57"/>
      <c r="S1018" s="57"/>
      <c r="T1018" s="57"/>
      <c r="U1018" s="57"/>
      <c r="V1018" s="57"/>
      <c r="W1018" s="57"/>
      <c r="X1018" s="57"/>
      <c r="Y1018" s="57"/>
      <c r="Z1018" s="57"/>
      <c r="AA1018" s="57"/>
      <c r="AB1018" s="57"/>
      <c r="AC1018" s="57"/>
      <c r="AD1018" s="57"/>
      <c r="AE1018" s="57"/>
      <c r="AF1018" s="57"/>
      <c r="AG1018" s="57"/>
      <c r="AH1018" s="57"/>
      <c r="AI1018" s="57"/>
      <c r="AJ1018" s="57"/>
      <c r="AK1018" s="57"/>
      <c r="AL1018" s="57"/>
      <c r="AM1018" s="57"/>
      <c r="AN1018" s="57"/>
      <c r="AO1018" s="57"/>
      <c r="AP1018" s="57"/>
      <c r="AQ1018" s="57"/>
      <c r="AR1018" s="57"/>
      <c r="AS1018" s="57"/>
      <c r="AT1018" s="57"/>
      <c r="AU1018" s="58">
        <f t="shared" si="15"/>
        <v>433.55199999999996</v>
      </c>
      <c r="AV1018" s="58"/>
    </row>
    <row r="1019" spans="1:48" ht="13.5" customHeight="1">
      <c r="A1019" s="84">
        <v>1017</v>
      </c>
      <c r="B1019" s="85">
        <v>1301</v>
      </c>
      <c r="C1019" s="85" t="s">
        <v>39</v>
      </c>
      <c r="D1019" s="175">
        <v>-820.69599999999991</v>
      </c>
      <c r="F1019" s="45">
        <v>1400</v>
      </c>
      <c r="G1019" s="45">
        <v>733.40260000000001</v>
      </c>
      <c r="H1019" s="56">
        <v>-370.69599999999991</v>
      </c>
      <c r="I1019" s="56">
        <v>-70.695999999999913</v>
      </c>
      <c r="J1019" s="148">
        <v>300</v>
      </c>
      <c r="K1019" s="57">
        <v>300</v>
      </c>
      <c r="L1019" s="57"/>
      <c r="M1019" s="57"/>
      <c r="N1019" s="57"/>
      <c r="O1019" s="57"/>
      <c r="P1019" s="57"/>
      <c r="Q1019" s="57"/>
      <c r="R1019" s="57"/>
      <c r="S1019" s="57"/>
      <c r="T1019" s="57"/>
      <c r="U1019" s="57"/>
      <c r="V1019" s="57"/>
      <c r="W1019" s="57"/>
      <c r="X1019" s="57">
        <v>150</v>
      </c>
      <c r="Y1019" s="57"/>
      <c r="Z1019" s="57"/>
      <c r="AA1019" s="57"/>
      <c r="AB1019" s="57"/>
      <c r="AC1019" s="57"/>
      <c r="AD1019" s="57"/>
      <c r="AE1019" s="57"/>
      <c r="AF1019" s="57"/>
      <c r="AG1019" s="57"/>
      <c r="AH1019" s="57"/>
      <c r="AI1019" s="57"/>
      <c r="AJ1019" s="57"/>
      <c r="AK1019" s="57"/>
      <c r="AL1019" s="57"/>
      <c r="AM1019" s="57"/>
      <c r="AN1019" s="57"/>
      <c r="AO1019" s="57"/>
      <c r="AP1019" s="57"/>
      <c r="AQ1019" s="57"/>
      <c r="AR1019" s="57"/>
      <c r="AS1019" s="57"/>
      <c r="AT1019" s="57"/>
      <c r="AU1019" s="58">
        <f t="shared" si="15"/>
        <v>-820.69599999999991</v>
      </c>
      <c r="AV1019" s="58"/>
    </row>
    <row r="1020" spans="1:48" ht="13.5" customHeight="1">
      <c r="A1020" s="84">
        <v>1018</v>
      </c>
      <c r="B1020" s="85">
        <v>1308</v>
      </c>
      <c r="C1020" s="85" t="s">
        <v>39</v>
      </c>
      <c r="D1020" s="175">
        <v>-1277.56</v>
      </c>
      <c r="H1020" s="56"/>
      <c r="I1020" s="56">
        <v>882</v>
      </c>
      <c r="J1020" s="148">
        <v>1066.18</v>
      </c>
      <c r="K1020" s="57"/>
      <c r="L1020" s="57"/>
      <c r="M1020" s="57"/>
      <c r="N1020" s="57"/>
      <c r="O1020" s="57"/>
      <c r="P1020" s="57"/>
      <c r="Q1020" s="57"/>
      <c r="R1020" s="57"/>
      <c r="S1020" s="57"/>
      <c r="T1020" s="57"/>
      <c r="U1020" s="57"/>
      <c r="V1020" s="57"/>
      <c r="W1020" s="57"/>
      <c r="X1020" s="57"/>
      <c r="Y1020" s="57"/>
      <c r="Z1020" s="57"/>
      <c r="AA1020" s="57"/>
      <c r="AB1020" s="57"/>
      <c r="AC1020" s="57"/>
      <c r="AD1020" s="57"/>
      <c r="AE1020" s="57"/>
      <c r="AF1020" s="57">
        <v>546.17999999999995</v>
      </c>
      <c r="AG1020" s="57"/>
      <c r="AH1020" s="57"/>
      <c r="AI1020" s="57"/>
      <c r="AJ1020" s="57"/>
      <c r="AK1020" s="57"/>
      <c r="AL1020" s="57">
        <v>547.20000000000005</v>
      </c>
      <c r="AM1020" s="57"/>
      <c r="AN1020" s="57"/>
      <c r="AO1020" s="57"/>
      <c r="AP1020" s="57"/>
      <c r="AQ1020" s="57"/>
      <c r="AR1020" s="57"/>
      <c r="AS1020" s="57"/>
      <c r="AT1020" s="57"/>
      <c r="AU1020" s="58">
        <f t="shared" si="15"/>
        <v>-1277.56</v>
      </c>
      <c r="AV1020" s="58"/>
    </row>
    <row r="1021" spans="1:48" ht="13.5" customHeight="1">
      <c r="A1021" s="82">
        <v>1019</v>
      </c>
      <c r="B1021" s="85">
        <v>1312</v>
      </c>
      <c r="C1021" s="85" t="s">
        <v>39</v>
      </c>
      <c r="D1021" s="175">
        <v>194.71019999999999</v>
      </c>
      <c r="F1021" s="45">
        <v>1000</v>
      </c>
      <c r="G1021" s="45">
        <v>617.10599999999999</v>
      </c>
      <c r="H1021" s="56">
        <v>304.71019999999999</v>
      </c>
      <c r="I1021" s="56">
        <v>304.71019999999999</v>
      </c>
      <c r="J1021" s="148">
        <v>0</v>
      </c>
      <c r="K1021" s="57"/>
      <c r="L1021" s="57"/>
      <c r="M1021" s="57"/>
      <c r="N1021" s="57"/>
      <c r="O1021" s="57"/>
      <c r="P1021" s="57"/>
      <c r="Q1021" s="57"/>
      <c r="R1021" s="57"/>
      <c r="S1021" s="57"/>
      <c r="T1021" s="57"/>
      <c r="U1021" s="57"/>
      <c r="V1021" s="57"/>
      <c r="W1021" s="57"/>
      <c r="X1021" s="57"/>
      <c r="Y1021" s="57"/>
      <c r="Z1021" s="57"/>
      <c r="AA1021" s="57"/>
      <c r="AB1021" s="57"/>
      <c r="AC1021" s="57">
        <v>50</v>
      </c>
      <c r="AD1021" s="57"/>
      <c r="AE1021" s="57"/>
      <c r="AF1021" s="57"/>
      <c r="AG1021" s="57"/>
      <c r="AH1021" s="57">
        <v>60</v>
      </c>
      <c r="AI1021" s="57"/>
      <c r="AJ1021" s="57"/>
      <c r="AK1021" s="57"/>
      <c r="AL1021" s="57"/>
      <c r="AM1021" s="57"/>
      <c r="AN1021" s="57"/>
      <c r="AO1021" s="57"/>
      <c r="AP1021" s="57"/>
      <c r="AQ1021" s="57"/>
      <c r="AR1021" s="57"/>
      <c r="AS1021" s="57"/>
      <c r="AT1021" s="57"/>
      <c r="AU1021" s="58">
        <f t="shared" si="15"/>
        <v>194.71019999999999</v>
      </c>
      <c r="AV1021" s="58"/>
    </row>
    <row r="1022" spans="1:48" ht="13.5" customHeight="1">
      <c r="A1022" s="84">
        <v>1020</v>
      </c>
      <c r="B1022" s="85">
        <v>1323</v>
      </c>
      <c r="C1022" s="85" t="s">
        <v>39</v>
      </c>
      <c r="D1022" s="175">
        <v>27.120000000000118</v>
      </c>
      <c r="F1022" s="45">
        <v>100</v>
      </c>
      <c r="G1022" s="45">
        <v>52.2</v>
      </c>
      <c r="H1022" s="56">
        <v>357.12000000000012</v>
      </c>
      <c r="I1022" s="56">
        <v>357.12000000000012</v>
      </c>
      <c r="J1022" s="148">
        <v>0</v>
      </c>
      <c r="K1022" s="57"/>
      <c r="L1022" s="57"/>
      <c r="M1022" s="57"/>
      <c r="N1022" s="57"/>
      <c r="O1022" s="57"/>
      <c r="P1022" s="57"/>
      <c r="Q1022" s="57"/>
      <c r="R1022" s="57"/>
      <c r="S1022" s="57"/>
      <c r="T1022" s="57"/>
      <c r="U1022" s="57"/>
      <c r="V1022" s="57"/>
      <c r="W1022" s="57"/>
      <c r="X1022" s="57"/>
      <c r="Y1022" s="57">
        <v>180</v>
      </c>
      <c r="Z1022" s="57"/>
      <c r="AA1022" s="57"/>
      <c r="AB1022" s="57"/>
      <c r="AC1022" s="57"/>
      <c r="AD1022" s="57"/>
      <c r="AE1022" s="57"/>
      <c r="AF1022" s="57"/>
      <c r="AG1022" s="57"/>
      <c r="AH1022" s="57">
        <v>150</v>
      </c>
      <c r="AI1022" s="57"/>
      <c r="AJ1022" s="57"/>
      <c r="AK1022" s="57"/>
      <c r="AL1022" s="57"/>
      <c r="AM1022" s="57"/>
      <c r="AN1022" s="57"/>
      <c r="AO1022" s="57"/>
      <c r="AP1022" s="57"/>
      <c r="AQ1022" s="57"/>
      <c r="AR1022" s="57"/>
      <c r="AS1022" s="57"/>
      <c r="AT1022" s="57"/>
      <c r="AU1022" s="58">
        <f t="shared" si="15"/>
        <v>27.120000000000118</v>
      </c>
      <c r="AV1022" s="58"/>
    </row>
    <row r="1023" spans="1:48" ht="13.5" customHeight="1">
      <c r="A1023" s="82">
        <v>1021</v>
      </c>
      <c r="B1023" s="85">
        <v>1324</v>
      </c>
      <c r="C1023" s="85" t="s">
        <v>39</v>
      </c>
      <c r="D1023" s="175">
        <v>1270</v>
      </c>
      <c r="H1023" s="56"/>
      <c r="I1023" s="56">
        <v>1400</v>
      </c>
      <c r="J1023" s="148"/>
      <c r="K1023" s="57"/>
      <c r="L1023" s="57"/>
      <c r="M1023" s="57"/>
      <c r="N1023" s="57"/>
      <c r="O1023" s="57"/>
      <c r="P1023" s="57"/>
      <c r="Q1023" s="57"/>
      <c r="R1023" s="57"/>
      <c r="S1023" s="57"/>
      <c r="T1023" s="57">
        <v>130</v>
      </c>
      <c r="U1023" s="57"/>
      <c r="V1023" s="57"/>
      <c r="W1023" s="57"/>
      <c r="X1023" s="57"/>
      <c r="Y1023" s="57"/>
      <c r="Z1023" s="57"/>
      <c r="AA1023" s="57"/>
      <c r="AB1023" s="57"/>
      <c r="AC1023" s="57"/>
      <c r="AD1023" s="57"/>
      <c r="AE1023" s="57"/>
      <c r="AF1023" s="57"/>
      <c r="AG1023" s="57"/>
      <c r="AH1023" s="57"/>
      <c r="AI1023" s="57"/>
      <c r="AJ1023" s="57"/>
      <c r="AK1023" s="57"/>
      <c r="AL1023" s="57"/>
      <c r="AM1023" s="57"/>
      <c r="AN1023" s="57"/>
      <c r="AO1023" s="57"/>
      <c r="AP1023" s="57"/>
      <c r="AQ1023" s="57"/>
      <c r="AR1023" s="57"/>
      <c r="AS1023" s="57"/>
      <c r="AT1023" s="57"/>
      <c r="AU1023" s="58">
        <f t="shared" si="15"/>
        <v>1270</v>
      </c>
      <c r="AV1023" s="58"/>
    </row>
    <row r="1024" spans="1:48" ht="13.5" customHeight="1">
      <c r="A1024" s="84">
        <v>1022</v>
      </c>
      <c r="B1024" s="85">
        <v>1338</v>
      </c>
      <c r="C1024" s="85" t="s">
        <v>39</v>
      </c>
      <c r="D1024" s="175">
        <v>1275</v>
      </c>
      <c r="H1024" s="56"/>
      <c r="I1024" s="56">
        <v>1400</v>
      </c>
      <c r="J1024" s="148">
        <v>0</v>
      </c>
      <c r="K1024" s="57"/>
      <c r="L1024" s="57"/>
      <c r="M1024" s="57"/>
      <c r="N1024" s="57"/>
      <c r="O1024" s="57"/>
      <c r="P1024" s="57"/>
      <c r="Q1024" s="57"/>
      <c r="R1024" s="57"/>
      <c r="S1024" s="57"/>
      <c r="T1024" s="57"/>
      <c r="U1024" s="57">
        <v>50</v>
      </c>
      <c r="V1024" s="57"/>
      <c r="W1024" s="57"/>
      <c r="X1024" s="57"/>
      <c r="Y1024" s="57"/>
      <c r="Z1024" s="57"/>
      <c r="AA1024" s="57"/>
      <c r="AB1024" s="57"/>
      <c r="AC1024" s="57"/>
      <c r="AD1024" s="57"/>
      <c r="AE1024" s="57"/>
      <c r="AF1024" s="57"/>
      <c r="AG1024" s="57">
        <v>75</v>
      </c>
      <c r="AH1024" s="57"/>
      <c r="AI1024" s="57"/>
      <c r="AJ1024" s="57"/>
      <c r="AK1024" s="57"/>
      <c r="AL1024" s="57"/>
      <c r="AM1024" s="57"/>
      <c r="AN1024" s="57"/>
      <c r="AO1024" s="57"/>
      <c r="AP1024" s="57"/>
      <c r="AQ1024" s="57"/>
      <c r="AR1024" s="57"/>
      <c r="AS1024" s="57"/>
      <c r="AT1024" s="57"/>
      <c r="AU1024" s="58">
        <f t="shared" si="15"/>
        <v>1275</v>
      </c>
      <c r="AV1024" s="58"/>
    </row>
    <row r="1025" spans="1:48" ht="13.5" customHeight="1">
      <c r="A1025" s="84">
        <v>1023</v>
      </c>
      <c r="B1025" s="85">
        <v>1351</v>
      </c>
      <c r="C1025" s="85" t="s">
        <v>39</v>
      </c>
      <c r="D1025" s="175">
        <v>151.62670000000003</v>
      </c>
      <c r="F1025" s="45">
        <v>160</v>
      </c>
      <c r="G1025" s="45">
        <v>34.799999999999997</v>
      </c>
      <c r="H1025" s="56">
        <v>374.62670000000003</v>
      </c>
      <c r="I1025" s="56">
        <v>374.62670000000003</v>
      </c>
      <c r="J1025" s="148">
        <v>0</v>
      </c>
      <c r="K1025" s="57"/>
      <c r="L1025" s="57"/>
      <c r="M1025" s="57"/>
      <c r="N1025" s="57"/>
      <c r="O1025" s="57"/>
      <c r="P1025" s="57"/>
      <c r="Q1025" s="57"/>
      <c r="R1025" s="57"/>
      <c r="S1025" s="57"/>
      <c r="T1025" s="57"/>
      <c r="U1025" s="57"/>
      <c r="V1025" s="57"/>
      <c r="W1025" s="57"/>
      <c r="X1025" s="57"/>
      <c r="Y1025" s="57"/>
      <c r="Z1025" s="57"/>
      <c r="AA1025" s="57">
        <v>200</v>
      </c>
      <c r="AB1025" s="57"/>
      <c r="AC1025" s="57"/>
      <c r="AD1025" s="57"/>
      <c r="AE1025" s="57"/>
      <c r="AF1025" s="57"/>
      <c r="AG1025" s="57"/>
      <c r="AH1025" s="57"/>
      <c r="AI1025" s="57"/>
      <c r="AJ1025" s="57"/>
      <c r="AK1025" s="57"/>
      <c r="AL1025" s="57"/>
      <c r="AM1025" s="57"/>
      <c r="AN1025" s="57">
        <v>23</v>
      </c>
      <c r="AO1025" s="57"/>
      <c r="AP1025" s="57"/>
      <c r="AQ1025" s="57"/>
      <c r="AR1025" s="57"/>
      <c r="AS1025" s="57"/>
      <c r="AT1025" s="57"/>
      <c r="AU1025" s="58">
        <f t="shared" si="15"/>
        <v>151.62670000000003</v>
      </c>
      <c r="AV1025" s="58"/>
    </row>
    <row r="1026" spans="1:48" ht="13.5" customHeight="1">
      <c r="A1026" s="82">
        <v>1024</v>
      </c>
      <c r="B1026" s="85">
        <v>1352</v>
      </c>
      <c r="C1026" s="85" t="s">
        <v>39</v>
      </c>
      <c r="D1026" s="175">
        <v>548</v>
      </c>
      <c r="F1026" s="45">
        <v>1400</v>
      </c>
      <c r="G1026" s="45">
        <v>480.096</v>
      </c>
      <c r="H1026" s="56">
        <v>567</v>
      </c>
      <c r="I1026" s="56">
        <v>567</v>
      </c>
      <c r="J1026" s="148">
        <v>0</v>
      </c>
      <c r="K1026" s="57"/>
      <c r="L1026" s="57"/>
      <c r="M1026" s="57"/>
      <c r="N1026" s="57"/>
      <c r="O1026" s="57"/>
      <c r="P1026" s="57"/>
      <c r="Q1026" s="57"/>
      <c r="R1026" s="57"/>
      <c r="S1026" s="57"/>
      <c r="T1026" s="57"/>
      <c r="U1026" s="57"/>
      <c r="V1026" s="57"/>
      <c r="W1026" s="57"/>
      <c r="X1026" s="57"/>
      <c r="Y1026" s="57"/>
      <c r="Z1026" s="57"/>
      <c r="AA1026" s="57"/>
      <c r="AB1026" s="57"/>
      <c r="AC1026" s="57"/>
      <c r="AD1026" s="57"/>
      <c r="AE1026" s="57"/>
      <c r="AF1026" s="57">
        <v>19</v>
      </c>
      <c r="AG1026" s="57"/>
      <c r="AH1026" s="57"/>
      <c r="AI1026" s="57"/>
      <c r="AJ1026" s="57"/>
      <c r="AK1026" s="57"/>
      <c r="AL1026" s="57"/>
      <c r="AM1026" s="57"/>
      <c r="AN1026" s="57"/>
      <c r="AO1026" s="57"/>
      <c r="AP1026" s="57"/>
      <c r="AQ1026" s="57"/>
      <c r="AR1026" s="57"/>
      <c r="AS1026" s="57"/>
      <c r="AT1026" s="57"/>
      <c r="AU1026" s="58">
        <f t="shared" si="15"/>
        <v>548</v>
      </c>
      <c r="AV1026" s="58"/>
    </row>
    <row r="1027" spans="1:48" ht="13.5" customHeight="1">
      <c r="A1027" s="84">
        <v>1025</v>
      </c>
      <c r="B1027" s="85">
        <v>1357</v>
      </c>
      <c r="C1027" s="85" t="s">
        <v>39</v>
      </c>
      <c r="D1027" s="175">
        <v>251.24</v>
      </c>
      <c r="F1027" s="45">
        <v>100</v>
      </c>
      <c r="G1027" s="45">
        <v>95.515559999999994</v>
      </c>
      <c r="H1027" s="56">
        <v>401.24</v>
      </c>
      <c r="I1027" s="56">
        <v>401.24</v>
      </c>
      <c r="J1027" s="148">
        <v>0</v>
      </c>
      <c r="K1027" s="57"/>
      <c r="L1027" s="57"/>
      <c r="M1027" s="57"/>
      <c r="N1027" s="57"/>
      <c r="O1027" s="57"/>
      <c r="P1027" s="57"/>
      <c r="Q1027" s="57"/>
      <c r="R1027" s="57"/>
      <c r="S1027" s="57"/>
      <c r="T1027" s="57"/>
      <c r="U1027" s="57"/>
      <c r="V1027" s="57"/>
      <c r="W1027" s="57"/>
      <c r="X1027" s="57"/>
      <c r="Y1027" s="57"/>
      <c r="Z1027" s="57"/>
      <c r="AA1027" s="57"/>
      <c r="AB1027" s="57"/>
      <c r="AC1027" s="57"/>
      <c r="AD1027" s="57"/>
      <c r="AE1027" s="57">
        <v>150</v>
      </c>
      <c r="AF1027" s="57"/>
      <c r="AG1027" s="57"/>
      <c r="AH1027" s="57"/>
      <c r="AI1027" s="57"/>
      <c r="AJ1027" s="57"/>
      <c r="AK1027" s="57"/>
      <c r="AL1027" s="57"/>
      <c r="AM1027" s="57"/>
      <c r="AN1027" s="57"/>
      <c r="AO1027" s="57"/>
      <c r="AP1027" s="57"/>
      <c r="AQ1027" s="57"/>
      <c r="AR1027" s="57"/>
      <c r="AS1027" s="57"/>
      <c r="AT1027" s="57"/>
      <c r="AU1027" s="58">
        <f t="shared" si="15"/>
        <v>251.24</v>
      </c>
      <c r="AV1027" s="58"/>
    </row>
    <row r="1028" spans="1:48" ht="13.5" customHeight="1">
      <c r="A1028" s="82">
        <v>1026</v>
      </c>
      <c r="B1028" s="85">
        <v>1370</v>
      </c>
      <c r="C1028" s="85" t="s">
        <v>39</v>
      </c>
      <c r="D1028" s="175">
        <v>612</v>
      </c>
      <c r="H1028" s="56"/>
      <c r="I1028" s="56">
        <v>882</v>
      </c>
      <c r="J1028" s="148"/>
      <c r="K1028" s="57"/>
      <c r="L1028" s="57"/>
      <c r="M1028" s="57"/>
      <c r="N1028" s="57"/>
      <c r="O1028" s="57"/>
      <c r="P1028" s="57"/>
      <c r="Q1028" s="57"/>
      <c r="R1028" s="57"/>
      <c r="S1028" s="57"/>
      <c r="T1028" s="57"/>
      <c r="U1028" s="57">
        <v>220</v>
      </c>
      <c r="V1028" s="57"/>
      <c r="W1028" s="57"/>
      <c r="X1028" s="57"/>
      <c r="Y1028" s="57"/>
      <c r="Z1028" s="57"/>
      <c r="AA1028" s="57"/>
      <c r="AB1028" s="57"/>
      <c r="AC1028" s="57"/>
      <c r="AD1028" s="57"/>
      <c r="AE1028" s="57"/>
      <c r="AF1028" s="57"/>
      <c r="AG1028" s="57"/>
      <c r="AH1028" s="57"/>
      <c r="AI1028" s="57"/>
      <c r="AJ1028" s="57"/>
      <c r="AK1028" s="57"/>
      <c r="AL1028" s="57"/>
      <c r="AM1028" s="57">
        <v>50</v>
      </c>
      <c r="AN1028" s="57"/>
      <c r="AO1028" s="57"/>
      <c r="AP1028" s="57"/>
      <c r="AQ1028" s="57"/>
      <c r="AR1028" s="57"/>
      <c r="AS1028" s="57"/>
      <c r="AT1028" s="57"/>
      <c r="AU1028" s="58">
        <f t="shared" ref="AU1028:AU1091" si="16">I1028-J1028-K1028-L1028-M1028-N1028-O1028-P1028-Q1028-R1028-S1028-T1028-U1028-V1028-W1028-X1028-Y1028-Z1028-AA1028-AB1028-AC1028-AD1028-AE1028-AF1028-AG1028-AH1028-AI1028-AJ1028-AK1028-AL1028-AM1028-AN1028-AO1028-AP1028-AQ1028-AR1028-AS1028-AT1028</f>
        <v>612</v>
      </c>
      <c r="AV1028" s="58"/>
    </row>
    <row r="1029" spans="1:48" ht="13.5" customHeight="1">
      <c r="A1029" s="84">
        <v>1027</v>
      </c>
      <c r="B1029" s="85">
        <v>1375</v>
      </c>
      <c r="C1029" s="85" t="s">
        <v>39</v>
      </c>
      <c r="D1029" s="175">
        <v>419.44</v>
      </c>
      <c r="F1029" s="45">
        <v>100</v>
      </c>
      <c r="G1029" s="45">
        <v>70.122000000000014</v>
      </c>
      <c r="H1029" s="56">
        <v>419.44</v>
      </c>
      <c r="I1029" s="56">
        <v>419.44</v>
      </c>
      <c r="J1029" s="148">
        <v>0</v>
      </c>
      <c r="K1029" s="57"/>
      <c r="L1029" s="57"/>
      <c r="M1029" s="57"/>
      <c r="N1029" s="57"/>
      <c r="O1029" s="57"/>
      <c r="P1029" s="57"/>
      <c r="Q1029" s="57"/>
      <c r="R1029" s="57"/>
      <c r="S1029" s="57"/>
      <c r="T1029" s="57"/>
      <c r="U1029" s="57"/>
      <c r="V1029" s="57"/>
      <c r="W1029" s="57"/>
      <c r="X1029" s="57"/>
      <c r="Y1029" s="57"/>
      <c r="Z1029" s="57"/>
      <c r="AA1029" s="57"/>
      <c r="AB1029" s="57"/>
      <c r="AC1029" s="57"/>
      <c r="AD1029" s="57"/>
      <c r="AE1029" s="57"/>
      <c r="AF1029" s="57"/>
      <c r="AG1029" s="57"/>
      <c r="AH1029" s="57"/>
      <c r="AI1029" s="57"/>
      <c r="AJ1029" s="57"/>
      <c r="AK1029" s="57"/>
      <c r="AL1029" s="57"/>
      <c r="AM1029" s="57"/>
      <c r="AN1029" s="57"/>
      <c r="AO1029" s="57"/>
      <c r="AP1029" s="57"/>
      <c r="AQ1029" s="57"/>
      <c r="AR1029" s="57"/>
      <c r="AS1029" s="57"/>
      <c r="AT1029" s="57"/>
      <c r="AU1029" s="58">
        <f t="shared" si="16"/>
        <v>419.44</v>
      </c>
      <c r="AV1029" s="58"/>
    </row>
    <row r="1030" spans="1:48" ht="13.5" customHeight="1">
      <c r="A1030" s="84">
        <v>1028</v>
      </c>
      <c r="B1030" s="85">
        <v>1376</v>
      </c>
      <c r="C1030" s="85" t="s">
        <v>39</v>
      </c>
      <c r="D1030" s="175">
        <v>52.597399999999993</v>
      </c>
      <c r="F1030" s="45">
        <v>160</v>
      </c>
      <c r="G1030" s="45">
        <v>34.799999999999997</v>
      </c>
      <c r="H1030" s="56">
        <v>666.59739999999999</v>
      </c>
      <c r="I1030" s="56">
        <v>666.59739999999999</v>
      </c>
      <c r="J1030" s="148">
        <v>0</v>
      </c>
      <c r="K1030" s="57"/>
      <c r="L1030" s="57"/>
      <c r="M1030" s="57"/>
      <c r="N1030" s="57">
        <v>140</v>
      </c>
      <c r="O1030" s="57"/>
      <c r="P1030" s="57"/>
      <c r="Q1030" s="57"/>
      <c r="R1030" s="57"/>
      <c r="S1030" s="57"/>
      <c r="T1030" s="57">
        <v>70</v>
      </c>
      <c r="U1030" s="57"/>
      <c r="V1030" s="57"/>
      <c r="W1030" s="57"/>
      <c r="X1030" s="57">
        <v>160</v>
      </c>
      <c r="Y1030" s="57"/>
      <c r="Z1030" s="57"/>
      <c r="AA1030" s="57"/>
      <c r="AB1030" s="57">
        <v>150</v>
      </c>
      <c r="AC1030" s="57"/>
      <c r="AD1030" s="57"/>
      <c r="AE1030" s="57"/>
      <c r="AF1030" s="57"/>
      <c r="AG1030" s="57"/>
      <c r="AH1030" s="57"/>
      <c r="AI1030" s="57"/>
      <c r="AJ1030" s="57"/>
      <c r="AK1030" s="57">
        <v>64</v>
      </c>
      <c r="AL1030" s="57"/>
      <c r="AM1030" s="57"/>
      <c r="AN1030" s="57"/>
      <c r="AO1030" s="57"/>
      <c r="AP1030" s="57"/>
      <c r="AQ1030" s="57"/>
      <c r="AR1030" s="57"/>
      <c r="AS1030" s="57"/>
      <c r="AT1030" s="57">
        <v>30</v>
      </c>
      <c r="AU1030" s="58">
        <f t="shared" si="16"/>
        <v>52.597399999999993</v>
      </c>
      <c r="AV1030" s="58"/>
    </row>
    <row r="1031" spans="1:48" ht="13.5" customHeight="1">
      <c r="A1031" s="82">
        <v>1029</v>
      </c>
      <c r="B1031" s="85">
        <v>1377</v>
      </c>
      <c r="C1031" s="85" t="s">
        <v>39</v>
      </c>
      <c r="D1031" s="175">
        <v>248</v>
      </c>
      <c r="F1031" s="45">
        <v>250</v>
      </c>
      <c r="G1031" s="45">
        <v>34.799999999999997</v>
      </c>
      <c r="H1031" s="56">
        <v>248</v>
      </c>
      <c r="I1031" s="116">
        <v>248</v>
      </c>
      <c r="J1031" s="148">
        <v>0</v>
      </c>
      <c r="K1031" s="57"/>
      <c r="L1031" s="57"/>
      <c r="M1031" s="57"/>
      <c r="N1031" s="57"/>
      <c r="O1031" s="57"/>
      <c r="P1031" s="57"/>
      <c r="Q1031" s="57"/>
      <c r="R1031" s="57"/>
      <c r="S1031" s="57"/>
      <c r="T1031" s="57"/>
      <c r="U1031" s="57"/>
      <c r="V1031" s="57"/>
      <c r="W1031" s="57"/>
      <c r="X1031" s="57"/>
      <c r="Y1031" s="57"/>
      <c r="Z1031" s="57"/>
      <c r="AA1031" s="57"/>
      <c r="AB1031" s="57"/>
      <c r="AC1031" s="57"/>
      <c r="AD1031" s="57"/>
      <c r="AE1031" s="57"/>
      <c r="AF1031" s="57"/>
      <c r="AG1031" s="57"/>
      <c r="AH1031" s="57"/>
      <c r="AI1031" s="57"/>
      <c r="AJ1031" s="57"/>
      <c r="AK1031" s="57"/>
      <c r="AL1031" s="57"/>
      <c r="AM1031" s="57"/>
      <c r="AN1031" s="57"/>
      <c r="AO1031" s="57"/>
      <c r="AP1031" s="57"/>
      <c r="AQ1031" s="57"/>
      <c r="AR1031" s="57"/>
      <c r="AS1031" s="57"/>
      <c r="AT1031" s="57"/>
      <c r="AU1031" s="58">
        <f t="shared" si="16"/>
        <v>248</v>
      </c>
      <c r="AV1031" s="58"/>
    </row>
    <row r="1032" spans="1:48" ht="13.5" customHeight="1">
      <c r="A1032" s="84">
        <v>1030</v>
      </c>
      <c r="B1032" s="55">
        <v>1381</v>
      </c>
      <c r="C1032" s="85" t="s">
        <v>39</v>
      </c>
      <c r="D1032" s="175">
        <v>74.800000000000011</v>
      </c>
      <c r="H1032" s="56"/>
      <c r="I1032" s="116">
        <v>241.8</v>
      </c>
      <c r="J1032" s="148"/>
      <c r="K1032" s="57"/>
      <c r="L1032" s="57"/>
      <c r="M1032" s="57"/>
      <c r="N1032" s="57"/>
      <c r="O1032" s="57"/>
      <c r="P1032" s="57"/>
      <c r="Q1032" s="57"/>
      <c r="R1032" s="57"/>
      <c r="S1032" s="57"/>
      <c r="T1032" s="57"/>
      <c r="U1032" s="57"/>
      <c r="V1032" s="57"/>
      <c r="W1032" s="57"/>
      <c r="X1032" s="57"/>
      <c r="Y1032" s="57">
        <v>17</v>
      </c>
      <c r="Z1032" s="57"/>
      <c r="AA1032" s="57"/>
      <c r="AB1032" s="57"/>
      <c r="AC1032" s="57"/>
      <c r="AD1032" s="57"/>
      <c r="AE1032" s="57"/>
      <c r="AF1032" s="57"/>
      <c r="AG1032" s="57"/>
      <c r="AH1032" s="57"/>
      <c r="AI1032" s="57"/>
      <c r="AJ1032" s="57"/>
      <c r="AK1032" s="57"/>
      <c r="AL1032" s="57"/>
      <c r="AM1032" s="57"/>
      <c r="AN1032" s="57"/>
      <c r="AO1032" s="57"/>
      <c r="AP1032" s="57">
        <v>100</v>
      </c>
      <c r="AQ1032" s="57"/>
      <c r="AR1032" s="57"/>
      <c r="AS1032" s="57">
        <v>50</v>
      </c>
      <c r="AT1032" s="57"/>
      <c r="AU1032" s="58">
        <f t="shared" si="16"/>
        <v>74.800000000000011</v>
      </c>
      <c r="AV1032" s="58"/>
    </row>
    <row r="1033" spans="1:48" ht="13.5" customHeight="1">
      <c r="A1033" s="82">
        <v>1031</v>
      </c>
      <c r="B1033" s="55">
        <v>1382</v>
      </c>
      <c r="C1033" s="85" t="s">
        <v>39</v>
      </c>
      <c r="D1033" s="175">
        <v>999.09999999999991</v>
      </c>
      <c r="H1033" s="56"/>
      <c r="I1033" s="116">
        <v>1400</v>
      </c>
      <c r="J1033" s="148"/>
      <c r="K1033" s="57"/>
      <c r="L1033" s="57"/>
      <c r="M1033" s="57"/>
      <c r="N1033" s="57"/>
      <c r="O1033" s="57">
        <v>100.9</v>
      </c>
      <c r="P1033" s="57"/>
      <c r="Q1033" s="57"/>
      <c r="R1033" s="57"/>
      <c r="S1033" s="57"/>
      <c r="T1033" s="57"/>
      <c r="U1033" s="57"/>
      <c r="V1033" s="57"/>
      <c r="W1033" s="57"/>
      <c r="X1033" s="57"/>
      <c r="Y1033" s="57"/>
      <c r="Z1033" s="57"/>
      <c r="AA1033" s="57"/>
      <c r="AB1033" s="57"/>
      <c r="AC1033" s="57"/>
      <c r="AD1033" s="57">
        <v>40</v>
      </c>
      <c r="AE1033" s="57"/>
      <c r="AF1033" s="57"/>
      <c r="AG1033" s="57"/>
      <c r="AH1033" s="57"/>
      <c r="AI1033" s="57"/>
      <c r="AJ1033" s="57"/>
      <c r="AK1033" s="57"/>
      <c r="AL1033" s="57"/>
      <c r="AM1033" s="57"/>
      <c r="AN1033" s="57"/>
      <c r="AO1033" s="57">
        <v>260</v>
      </c>
      <c r="AP1033" s="57"/>
      <c r="AQ1033" s="57"/>
      <c r="AR1033" s="57"/>
      <c r="AS1033" s="57"/>
      <c r="AT1033" s="57"/>
      <c r="AU1033" s="58">
        <f t="shared" si="16"/>
        <v>999.09999999999991</v>
      </c>
      <c r="AV1033" s="58"/>
    </row>
    <row r="1034" spans="1:48" ht="13.5" customHeight="1">
      <c r="A1034" s="84">
        <v>1032</v>
      </c>
      <c r="B1034" s="55">
        <v>1385</v>
      </c>
      <c r="C1034" s="55" t="s">
        <v>39</v>
      </c>
      <c r="D1034" s="175">
        <v>-61.94</v>
      </c>
      <c r="H1034" s="56"/>
      <c r="I1034" s="116">
        <v>128</v>
      </c>
      <c r="J1034" s="148">
        <v>159.94</v>
      </c>
      <c r="K1034" s="57"/>
      <c r="L1034" s="57"/>
      <c r="M1034" s="57"/>
      <c r="N1034" s="57"/>
      <c r="O1034" s="57"/>
      <c r="P1034" s="57"/>
      <c r="Q1034" s="57"/>
      <c r="R1034" s="57"/>
      <c r="S1034" s="57"/>
      <c r="T1034" s="57"/>
      <c r="U1034" s="57"/>
      <c r="V1034" s="57"/>
      <c r="W1034" s="57"/>
      <c r="X1034" s="57"/>
      <c r="Y1034" s="57"/>
      <c r="Z1034" s="57"/>
      <c r="AA1034" s="57"/>
      <c r="AB1034" s="57"/>
      <c r="AC1034" s="57"/>
      <c r="AD1034" s="57"/>
      <c r="AE1034" s="57"/>
      <c r="AF1034" s="57"/>
      <c r="AG1034" s="57"/>
      <c r="AH1034" s="57"/>
      <c r="AI1034" s="57">
        <v>30</v>
      </c>
      <c r="AJ1034" s="57"/>
      <c r="AK1034" s="57"/>
      <c r="AL1034" s="57"/>
      <c r="AM1034" s="57"/>
      <c r="AN1034" s="57"/>
      <c r="AO1034" s="57"/>
      <c r="AP1034" s="57"/>
      <c r="AQ1034" s="57"/>
      <c r="AR1034" s="57"/>
      <c r="AS1034" s="57"/>
      <c r="AT1034" s="57"/>
      <c r="AU1034" s="58">
        <f t="shared" si="16"/>
        <v>-61.94</v>
      </c>
      <c r="AV1034" s="58"/>
    </row>
    <row r="1035" spans="1:48" ht="13.5" customHeight="1">
      <c r="A1035" s="84">
        <v>1033</v>
      </c>
      <c r="B1035" s="55">
        <v>1391</v>
      </c>
      <c r="C1035" s="55" t="s">
        <v>39</v>
      </c>
      <c r="D1035" s="175">
        <v>615</v>
      </c>
      <c r="F1035" s="45">
        <v>160</v>
      </c>
      <c r="G1035" s="45">
        <v>47.936999999999998</v>
      </c>
      <c r="H1035" s="56">
        <v>920</v>
      </c>
      <c r="I1035" s="116">
        <v>920</v>
      </c>
      <c r="J1035" s="148">
        <v>0</v>
      </c>
      <c r="K1035" s="57"/>
      <c r="L1035" s="57"/>
      <c r="M1035" s="57"/>
      <c r="N1035" s="57"/>
      <c r="O1035" s="57"/>
      <c r="P1035" s="57"/>
      <c r="Q1035" s="57"/>
      <c r="R1035" s="57"/>
      <c r="S1035" s="57"/>
      <c r="T1035" s="57"/>
      <c r="U1035" s="57"/>
      <c r="V1035" s="57">
        <v>305</v>
      </c>
      <c r="W1035" s="57"/>
      <c r="X1035" s="57"/>
      <c r="Y1035" s="57"/>
      <c r="Z1035" s="57"/>
      <c r="AA1035" s="57"/>
      <c r="AB1035" s="57"/>
      <c r="AC1035" s="57"/>
      <c r="AD1035" s="57"/>
      <c r="AE1035" s="57"/>
      <c r="AF1035" s="57"/>
      <c r="AG1035" s="57"/>
      <c r="AH1035" s="57"/>
      <c r="AI1035" s="57"/>
      <c r="AJ1035" s="57"/>
      <c r="AK1035" s="57"/>
      <c r="AL1035" s="57"/>
      <c r="AM1035" s="57"/>
      <c r="AN1035" s="57"/>
      <c r="AO1035" s="57"/>
      <c r="AP1035" s="57"/>
      <c r="AQ1035" s="57"/>
      <c r="AR1035" s="57"/>
      <c r="AS1035" s="57"/>
      <c r="AT1035" s="57"/>
      <c r="AU1035" s="58">
        <f t="shared" si="16"/>
        <v>615</v>
      </c>
      <c r="AV1035" s="58"/>
    </row>
    <row r="1036" spans="1:48" ht="13.5" customHeight="1">
      <c r="A1036" s="82">
        <v>1034</v>
      </c>
      <c r="B1036" s="55">
        <v>1411</v>
      </c>
      <c r="C1036" s="55" t="s">
        <v>39</v>
      </c>
      <c r="D1036" s="175">
        <v>200</v>
      </c>
      <c r="H1036" s="56"/>
      <c r="I1036" s="139">
        <v>350</v>
      </c>
      <c r="J1036" s="148">
        <v>0</v>
      </c>
      <c r="K1036" s="57"/>
      <c r="L1036" s="57"/>
      <c r="M1036" s="57"/>
      <c r="N1036" s="57"/>
      <c r="O1036" s="57"/>
      <c r="P1036" s="57"/>
      <c r="Q1036" s="57"/>
      <c r="R1036" s="57"/>
      <c r="S1036" s="57"/>
      <c r="T1036" s="57"/>
      <c r="U1036" s="57"/>
      <c r="V1036" s="57"/>
      <c r="W1036" s="57"/>
      <c r="X1036" s="57"/>
      <c r="Y1036" s="57"/>
      <c r="Z1036" s="57"/>
      <c r="AA1036" s="57"/>
      <c r="AB1036" s="57"/>
      <c r="AC1036" s="57"/>
      <c r="AD1036" s="57"/>
      <c r="AE1036" s="57">
        <v>150</v>
      </c>
      <c r="AF1036" s="57"/>
      <c r="AG1036" s="57"/>
      <c r="AH1036" s="57"/>
      <c r="AI1036" s="57"/>
      <c r="AJ1036" s="57"/>
      <c r="AK1036" s="57"/>
      <c r="AL1036" s="57"/>
      <c r="AM1036" s="57"/>
      <c r="AN1036" s="57"/>
      <c r="AO1036" s="57"/>
      <c r="AP1036" s="57"/>
      <c r="AQ1036" s="57"/>
      <c r="AR1036" s="57"/>
      <c r="AS1036" s="57"/>
      <c r="AT1036" s="57"/>
      <c r="AU1036" s="58">
        <f t="shared" si="16"/>
        <v>200</v>
      </c>
      <c r="AV1036" s="58"/>
    </row>
    <row r="1037" spans="1:48" ht="13.5" customHeight="1">
      <c r="A1037" s="84">
        <v>1035</v>
      </c>
      <c r="B1037" s="55">
        <v>1435</v>
      </c>
      <c r="C1037" s="55" t="s">
        <v>39</v>
      </c>
      <c r="D1037" s="175">
        <v>-157</v>
      </c>
      <c r="F1037" s="45">
        <f>250*1.4</f>
        <v>350</v>
      </c>
      <c r="H1037" s="56">
        <v>0</v>
      </c>
      <c r="I1037" s="118">
        <f>250*1.4</f>
        <v>350</v>
      </c>
      <c r="J1037" s="148">
        <v>0</v>
      </c>
      <c r="K1037" s="57">
        <f>200+10+120</f>
        <v>330</v>
      </c>
      <c r="L1037" s="57"/>
      <c r="M1037" s="57"/>
      <c r="N1037" s="57"/>
      <c r="O1037" s="57"/>
      <c r="P1037" s="57"/>
      <c r="Q1037" s="57"/>
      <c r="R1037" s="57"/>
      <c r="S1037" s="57"/>
      <c r="T1037" s="57"/>
      <c r="U1037" s="57"/>
      <c r="V1037" s="57"/>
      <c r="W1037" s="57"/>
      <c r="X1037" s="57"/>
      <c r="Y1037" s="57"/>
      <c r="Z1037" s="57"/>
      <c r="AA1037" s="57"/>
      <c r="AB1037" s="57"/>
      <c r="AC1037" s="57"/>
      <c r="AD1037" s="57"/>
      <c r="AE1037" s="57"/>
      <c r="AF1037" s="57"/>
      <c r="AG1037" s="57"/>
      <c r="AH1037" s="57"/>
      <c r="AI1037" s="57"/>
      <c r="AJ1037" s="57"/>
      <c r="AK1037" s="57">
        <f>88.5*2</f>
        <v>177</v>
      </c>
      <c r="AL1037" s="57"/>
      <c r="AM1037" s="57"/>
      <c r="AN1037" s="57"/>
      <c r="AO1037" s="57"/>
      <c r="AP1037" s="57"/>
      <c r="AQ1037" s="57"/>
      <c r="AR1037" s="57"/>
      <c r="AS1037" s="57"/>
      <c r="AT1037" s="57"/>
      <c r="AU1037" s="58">
        <f t="shared" si="16"/>
        <v>-157</v>
      </c>
      <c r="AV1037" s="58"/>
    </row>
    <row r="1038" spans="1:48" ht="13.5" customHeight="1">
      <c r="A1038" s="82">
        <v>1036</v>
      </c>
      <c r="B1038" s="55">
        <v>1451</v>
      </c>
      <c r="C1038" s="55" t="s">
        <v>39</v>
      </c>
      <c r="D1038" s="175">
        <v>606.59</v>
      </c>
      <c r="H1038" s="56"/>
      <c r="I1038" s="118">
        <v>1400</v>
      </c>
      <c r="J1038" s="148">
        <v>0</v>
      </c>
      <c r="K1038" s="57"/>
      <c r="L1038" s="57"/>
      <c r="M1038" s="57"/>
      <c r="N1038" s="57"/>
      <c r="O1038" s="57"/>
      <c r="P1038" s="57"/>
      <c r="Q1038" s="57"/>
      <c r="R1038" s="57"/>
      <c r="S1038" s="57"/>
      <c r="T1038" s="57">
        <v>607.25</v>
      </c>
      <c r="U1038" s="57"/>
      <c r="V1038" s="57"/>
      <c r="W1038" s="57"/>
      <c r="X1038" s="57"/>
      <c r="Y1038" s="57"/>
      <c r="Z1038" s="57">
        <v>130.4</v>
      </c>
      <c r="AA1038" s="57"/>
      <c r="AB1038" s="57"/>
      <c r="AC1038" s="57"/>
      <c r="AD1038" s="57">
        <v>35.76</v>
      </c>
      <c r="AE1038" s="57"/>
      <c r="AF1038" s="57"/>
      <c r="AG1038" s="57"/>
      <c r="AH1038" s="57"/>
      <c r="AI1038" s="57"/>
      <c r="AJ1038" s="57"/>
      <c r="AK1038" s="57"/>
      <c r="AL1038" s="57"/>
      <c r="AM1038" s="57"/>
      <c r="AN1038" s="57"/>
      <c r="AO1038" s="57"/>
      <c r="AP1038" s="57"/>
      <c r="AQ1038" s="57">
        <v>20</v>
      </c>
      <c r="AR1038" s="57"/>
      <c r="AS1038" s="57"/>
      <c r="AT1038" s="57"/>
      <c r="AU1038" s="58">
        <f t="shared" si="16"/>
        <v>606.59</v>
      </c>
      <c r="AV1038" s="58"/>
    </row>
    <row r="1039" spans="1:48" ht="13.5" customHeight="1">
      <c r="A1039" s="84">
        <v>1037</v>
      </c>
      <c r="B1039" s="55">
        <v>1455</v>
      </c>
      <c r="C1039" s="55" t="s">
        <v>39</v>
      </c>
      <c r="D1039" s="175">
        <v>-89.4</v>
      </c>
      <c r="H1039" s="56"/>
      <c r="I1039" s="118">
        <v>128</v>
      </c>
      <c r="J1039" s="148">
        <v>0</v>
      </c>
      <c r="K1039" s="57"/>
      <c r="L1039" s="57"/>
      <c r="M1039" s="57"/>
      <c r="N1039" s="57"/>
      <c r="O1039" s="57"/>
      <c r="P1039" s="57"/>
      <c r="Q1039" s="57"/>
      <c r="R1039" s="57"/>
      <c r="S1039" s="57"/>
      <c r="T1039" s="57"/>
      <c r="U1039" s="57"/>
      <c r="V1039" s="57"/>
      <c r="W1039" s="57"/>
      <c r="X1039" s="57"/>
      <c r="Y1039" s="57"/>
      <c r="Z1039" s="57"/>
      <c r="AA1039" s="57"/>
      <c r="AB1039" s="57"/>
      <c r="AC1039" s="57"/>
      <c r="AD1039" s="57"/>
      <c r="AE1039" s="57"/>
      <c r="AF1039" s="57">
        <v>147.4</v>
      </c>
      <c r="AG1039" s="57"/>
      <c r="AH1039" s="57"/>
      <c r="AI1039" s="57"/>
      <c r="AJ1039" s="57"/>
      <c r="AK1039" s="57"/>
      <c r="AL1039" s="57"/>
      <c r="AM1039" s="57"/>
      <c r="AN1039" s="57">
        <v>70</v>
      </c>
      <c r="AO1039" s="57"/>
      <c r="AP1039" s="57"/>
      <c r="AQ1039" s="57"/>
      <c r="AR1039" s="57"/>
      <c r="AS1039" s="57"/>
      <c r="AT1039" s="57"/>
      <c r="AU1039" s="58">
        <f t="shared" si="16"/>
        <v>-89.4</v>
      </c>
      <c r="AV1039" s="58"/>
    </row>
    <row r="1040" spans="1:48" ht="13.5" customHeight="1">
      <c r="A1040" s="84">
        <v>1038</v>
      </c>
      <c r="B1040" s="55">
        <v>1465</v>
      </c>
      <c r="C1040" s="55" t="s">
        <v>39</v>
      </c>
      <c r="D1040" s="175">
        <v>507.69000000000005</v>
      </c>
      <c r="H1040" s="56"/>
      <c r="I1040" s="118">
        <v>882</v>
      </c>
      <c r="J1040" s="148">
        <v>354.31</v>
      </c>
      <c r="K1040" s="57"/>
      <c r="L1040" s="57"/>
      <c r="M1040" s="57"/>
      <c r="N1040" s="57"/>
      <c r="O1040" s="57"/>
      <c r="P1040" s="57"/>
      <c r="Q1040" s="57"/>
      <c r="R1040" s="57"/>
      <c r="S1040" s="57"/>
      <c r="T1040" s="57"/>
      <c r="U1040" s="57"/>
      <c r="V1040" s="57"/>
      <c r="W1040" s="57"/>
      <c r="X1040" s="57"/>
      <c r="Y1040" s="57"/>
      <c r="Z1040" s="57"/>
      <c r="AA1040" s="57"/>
      <c r="AB1040" s="57"/>
      <c r="AC1040" s="57"/>
      <c r="AD1040" s="57"/>
      <c r="AE1040" s="57"/>
      <c r="AF1040" s="57"/>
      <c r="AG1040" s="57"/>
      <c r="AH1040" s="57"/>
      <c r="AI1040" s="57"/>
      <c r="AJ1040" s="57"/>
      <c r="AK1040" s="57"/>
      <c r="AL1040" s="57"/>
      <c r="AM1040" s="57">
        <v>20</v>
      </c>
      <c r="AN1040" s="57"/>
      <c r="AO1040" s="57"/>
      <c r="AP1040" s="57"/>
      <c r="AQ1040" s="57"/>
      <c r="AR1040" s="57"/>
      <c r="AS1040" s="57"/>
      <c r="AT1040" s="57"/>
      <c r="AU1040" s="58">
        <f t="shared" si="16"/>
        <v>507.69000000000005</v>
      </c>
      <c r="AV1040" s="58"/>
    </row>
    <row r="1041" spans="1:48" ht="13.5" customHeight="1">
      <c r="A1041" s="82">
        <v>1039</v>
      </c>
      <c r="B1041" s="55">
        <v>1474</v>
      </c>
      <c r="C1041" s="55" t="s">
        <v>39</v>
      </c>
      <c r="D1041" s="175">
        <v>1325</v>
      </c>
      <c r="H1041" s="56"/>
      <c r="I1041" s="118">
        <v>1400</v>
      </c>
      <c r="J1041" s="148"/>
      <c r="K1041" s="57"/>
      <c r="L1041" s="57"/>
      <c r="M1041" s="57"/>
      <c r="N1041" s="57"/>
      <c r="O1041" s="57">
        <v>25</v>
      </c>
      <c r="P1041" s="57"/>
      <c r="Q1041" s="57"/>
      <c r="R1041" s="57"/>
      <c r="S1041" s="57"/>
      <c r="T1041" s="57"/>
      <c r="U1041" s="57"/>
      <c r="V1041" s="57"/>
      <c r="W1041" s="57"/>
      <c r="X1041" s="57"/>
      <c r="Y1041" s="57"/>
      <c r="Z1041" s="57"/>
      <c r="AA1041" s="57"/>
      <c r="AB1041" s="57"/>
      <c r="AC1041" s="57"/>
      <c r="AD1041" s="57"/>
      <c r="AE1041" s="57"/>
      <c r="AF1041" s="57"/>
      <c r="AG1041" s="57"/>
      <c r="AH1041" s="57"/>
      <c r="AI1041" s="57"/>
      <c r="AJ1041" s="57"/>
      <c r="AK1041" s="57"/>
      <c r="AL1041" s="57"/>
      <c r="AM1041" s="57"/>
      <c r="AN1041" s="57"/>
      <c r="AO1041" s="57"/>
      <c r="AP1041" s="57">
        <v>50</v>
      </c>
      <c r="AQ1041" s="57"/>
      <c r="AR1041" s="57"/>
      <c r="AS1041" s="57"/>
      <c r="AT1041" s="57"/>
      <c r="AU1041" s="58">
        <f t="shared" si="16"/>
        <v>1325</v>
      </c>
      <c r="AV1041" s="58"/>
    </row>
    <row r="1042" spans="1:48" ht="13.5" customHeight="1">
      <c r="A1042" s="84">
        <v>1040</v>
      </c>
      <c r="B1042" s="55">
        <v>1478</v>
      </c>
      <c r="C1042" s="55" t="s">
        <v>39</v>
      </c>
      <c r="D1042" s="175">
        <v>1190</v>
      </c>
      <c r="H1042" s="56"/>
      <c r="I1042" s="118">
        <v>1400</v>
      </c>
      <c r="J1042" s="148"/>
      <c r="K1042" s="57"/>
      <c r="L1042" s="57"/>
      <c r="M1042" s="57"/>
      <c r="N1042" s="57"/>
      <c r="O1042" s="57"/>
      <c r="P1042" s="57"/>
      <c r="Q1042" s="57"/>
      <c r="R1042" s="57"/>
      <c r="S1042" s="57"/>
      <c r="T1042" s="57"/>
      <c r="U1042" s="57">
        <v>210</v>
      </c>
      <c r="V1042" s="57"/>
      <c r="W1042" s="57"/>
      <c r="X1042" s="57"/>
      <c r="Y1042" s="57"/>
      <c r="Z1042" s="57"/>
      <c r="AA1042" s="57"/>
      <c r="AB1042" s="57"/>
      <c r="AC1042" s="57"/>
      <c r="AD1042" s="57"/>
      <c r="AE1042" s="57"/>
      <c r="AF1042" s="57"/>
      <c r="AG1042" s="57"/>
      <c r="AH1042" s="57"/>
      <c r="AI1042" s="57"/>
      <c r="AJ1042" s="57"/>
      <c r="AK1042" s="57"/>
      <c r="AL1042" s="57"/>
      <c r="AM1042" s="57"/>
      <c r="AN1042" s="57"/>
      <c r="AO1042" s="57"/>
      <c r="AP1042" s="57"/>
      <c r="AQ1042" s="57"/>
      <c r="AR1042" s="57"/>
      <c r="AS1042" s="57"/>
      <c r="AT1042" s="57"/>
      <c r="AU1042" s="58">
        <f t="shared" si="16"/>
        <v>1190</v>
      </c>
      <c r="AV1042" s="58"/>
    </row>
    <row r="1043" spans="1:48" ht="13.5" customHeight="1">
      <c r="A1043" s="82">
        <v>1041</v>
      </c>
      <c r="B1043" s="55">
        <v>1482</v>
      </c>
      <c r="C1043" s="55" t="s">
        <v>39</v>
      </c>
      <c r="D1043" s="175">
        <v>638</v>
      </c>
      <c r="H1043" s="56"/>
      <c r="I1043" s="118">
        <v>882</v>
      </c>
      <c r="J1043" s="148"/>
      <c r="K1043" s="57"/>
      <c r="L1043" s="57"/>
      <c r="M1043" s="57"/>
      <c r="N1043" s="57"/>
      <c r="O1043" s="57"/>
      <c r="P1043" s="57"/>
      <c r="Q1043" s="57"/>
      <c r="R1043" s="57">
        <v>149</v>
      </c>
      <c r="S1043" s="57"/>
      <c r="T1043" s="57"/>
      <c r="U1043" s="57">
        <v>95</v>
      </c>
      <c r="V1043" s="57"/>
      <c r="W1043" s="57"/>
      <c r="X1043" s="57"/>
      <c r="Y1043" s="57"/>
      <c r="Z1043" s="57"/>
      <c r="AA1043" s="57"/>
      <c r="AB1043" s="57"/>
      <c r="AC1043" s="57"/>
      <c r="AD1043" s="57"/>
      <c r="AE1043" s="57"/>
      <c r="AF1043" s="57"/>
      <c r="AG1043" s="57"/>
      <c r="AH1043" s="57"/>
      <c r="AI1043" s="57"/>
      <c r="AJ1043" s="57"/>
      <c r="AK1043" s="57"/>
      <c r="AL1043" s="57"/>
      <c r="AM1043" s="57"/>
      <c r="AN1043" s="57"/>
      <c r="AO1043" s="57"/>
      <c r="AP1043" s="57"/>
      <c r="AQ1043" s="57"/>
      <c r="AR1043" s="57"/>
      <c r="AS1043" s="57"/>
      <c r="AT1043" s="57"/>
      <c r="AU1043" s="58">
        <f t="shared" si="16"/>
        <v>638</v>
      </c>
      <c r="AV1043" s="58"/>
    </row>
    <row r="1044" spans="1:48" ht="13.5" customHeight="1">
      <c r="A1044" s="84">
        <v>1042</v>
      </c>
      <c r="B1044" s="55">
        <v>1483</v>
      </c>
      <c r="C1044" s="55" t="s">
        <v>39</v>
      </c>
      <c r="D1044" s="175">
        <v>-654.72</v>
      </c>
      <c r="H1044" s="56"/>
      <c r="I1044" s="118">
        <v>560</v>
      </c>
      <c r="J1044" s="148">
        <v>513.91999999999996</v>
      </c>
      <c r="K1044" s="57"/>
      <c r="L1044" s="57"/>
      <c r="M1044" s="57"/>
      <c r="N1044" s="57"/>
      <c r="O1044" s="57"/>
      <c r="P1044" s="57"/>
      <c r="Q1044" s="57"/>
      <c r="R1044" s="57">
        <v>408.5</v>
      </c>
      <c r="S1044" s="57"/>
      <c r="T1044" s="57"/>
      <c r="U1044" s="57">
        <v>292.3</v>
      </c>
      <c r="V1044" s="57"/>
      <c r="W1044" s="57"/>
      <c r="X1044" s="57"/>
      <c r="Y1044" s="57"/>
      <c r="Z1044" s="57"/>
      <c r="AA1044" s="57"/>
      <c r="AB1044" s="57"/>
      <c r="AC1044" s="57"/>
      <c r="AD1044" s="57"/>
      <c r="AE1044" s="57"/>
      <c r="AF1044" s="57"/>
      <c r="AG1044" s="57"/>
      <c r="AH1044" s="57"/>
      <c r="AI1044" s="57"/>
      <c r="AJ1044" s="57"/>
      <c r="AK1044" s="57"/>
      <c r="AL1044" s="57"/>
      <c r="AM1044" s="57"/>
      <c r="AN1044" s="57"/>
      <c r="AO1044" s="57"/>
      <c r="AP1044" s="57"/>
      <c r="AQ1044" s="57"/>
      <c r="AR1044" s="57"/>
      <c r="AS1044" s="57"/>
      <c r="AT1044" s="57"/>
      <c r="AU1044" s="58">
        <f t="shared" si="16"/>
        <v>-654.72</v>
      </c>
      <c r="AV1044" s="58"/>
    </row>
    <row r="1045" spans="1:48" ht="13.5" customHeight="1">
      <c r="A1045" s="84">
        <v>1043</v>
      </c>
      <c r="B1045" s="55">
        <v>1493</v>
      </c>
      <c r="C1045" s="55" t="s">
        <v>39</v>
      </c>
      <c r="D1045" s="175">
        <v>682</v>
      </c>
      <c r="H1045" s="56"/>
      <c r="I1045" s="118">
        <v>882</v>
      </c>
      <c r="J1045" s="148"/>
      <c r="K1045" s="57"/>
      <c r="L1045" s="57"/>
      <c r="M1045" s="57"/>
      <c r="N1045" s="57"/>
      <c r="O1045" s="57">
        <v>40</v>
      </c>
      <c r="P1045" s="57"/>
      <c r="Q1045" s="57"/>
      <c r="R1045" s="57"/>
      <c r="S1045" s="57"/>
      <c r="T1045" s="57"/>
      <c r="U1045" s="57"/>
      <c r="V1045" s="57"/>
      <c r="W1045" s="57"/>
      <c r="X1045" s="57"/>
      <c r="Y1045" s="57"/>
      <c r="Z1045" s="57"/>
      <c r="AA1045" s="57"/>
      <c r="AB1045" s="57"/>
      <c r="AC1045" s="57"/>
      <c r="AD1045" s="57"/>
      <c r="AE1045" s="57"/>
      <c r="AF1045" s="57"/>
      <c r="AG1045" s="57"/>
      <c r="AH1045" s="57"/>
      <c r="AI1045" s="57"/>
      <c r="AJ1045" s="57"/>
      <c r="AK1045" s="57"/>
      <c r="AL1045" s="57"/>
      <c r="AM1045" s="57"/>
      <c r="AN1045" s="57"/>
      <c r="AO1045" s="57"/>
      <c r="AP1045" s="57"/>
      <c r="AQ1045" s="57"/>
      <c r="AR1045" s="57">
        <v>100</v>
      </c>
      <c r="AS1045" s="57">
        <v>60</v>
      </c>
      <c r="AT1045" s="57"/>
      <c r="AU1045" s="58">
        <f t="shared" si="16"/>
        <v>682</v>
      </c>
      <c r="AV1045" s="58"/>
    </row>
    <row r="1046" spans="1:48" ht="13.5" customHeight="1">
      <c r="A1046" s="82">
        <v>1044</v>
      </c>
      <c r="B1046" s="55">
        <v>1494</v>
      </c>
      <c r="C1046" s="55" t="s">
        <v>39</v>
      </c>
      <c r="D1046" s="175">
        <v>787</v>
      </c>
      <c r="H1046" s="56">
        <v>0</v>
      </c>
      <c r="I1046" s="56">
        <v>787</v>
      </c>
      <c r="J1046" s="148">
        <v>0</v>
      </c>
      <c r="K1046" s="57"/>
      <c r="L1046" s="57"/>
      <c r="M1046" s="57"/>
      <c r="N1046" s="57"/>
      <c r="O1046" s="57"/>
      <c r="P1046" s="57"/>
      <c r="Q1046" s="57"/>
      <c r="R1046" s="57"/>
      <c r="S1046" s="57"/>
      <c r="T1046" s="57"/>
      <c r="U1046" s="57"/>
      <c r="V1046" s="57"/>
      <c r="W1046" s="57"/>
      <c r="X1046" s="57"/>
      <c r="Y1046" s="57"/>
      <c r="Z1046" s="57"/>
      <c r="AA1046" s="57"/>
      <c r="AB1046" s="57"/>
      <c r="AC1046" s="57"/>
      <c r="AD1046" s="57"/>
      <c r="AE1046" s="57"/>
      <c r="AF1046" s="57"/>
      <c r="AG1046" s="57"/>
      <c r="AH1046" s="57"/>
      <c r="AI1046" s="57"/>
      <c r="AJ1046" s="57"/>
      <c r="AK1046" s="57"/>
      <c r="AL1046" s="57"/>
      <c r="AM1046" s="57"/>
      <c r="AN1046" s="57"/>
      <c r="AO1046" s="57"/>
      <c r="AP1046" s="57"/>
      <c r="AQ1046" s="57"/>
      <c r="AR1046" s="57"/>
      <c r="AS1046" s="57"/>
      <c r="AT1046" s="57"/>
      <c r="AU1046" s="58">
        <f t="shared" si="16"/>
        <v>787</v>
      </c>
      <c r="AV1046" s="58"/>
    </row>
    <row r="1047" spans="1:48" ht="13.5" customHeight="1">
      <c r="A1047" s="84">
        <v>1045</v>
      </c>
      <c r="B1047" s="55">
        <v>1501</v>
      </c>
      <c r="C1047" s="55" t="s">
        <v>39</v>
      </c>
      <c r="D1047" s="175">
        <v>113.55200000000002</v>
      </c>
      <c r="H1047" s="56">
        <v>0</v>
      </c>
      <c r="I1047" s="56">
        <v>882</v>
      </c>
      <c r="J1047" s="148">
        <v>768.44799999999998</v>
      </c>
      <c r="K1047" s="57"/>
      <c r="L1047" s="57"/>
      <c r="M1047" s="57"/>
      <c r="N1047" s="57"/>
      <c r="O1047" s="57"/>
      <c r="P1047" s="57"/>
      <c r="Q1047" s="57"/>
      <c r="R1047" s="57"/>
      <c r="S1047" s="57"/>
      <c r="T1047" s="57"/>
      <c r="U1047" s="57"/>
      <c r="V1047" s="57"/>
      <c r="W1047" s="57"/>
      <c r="X1047" s="57"/>
      <c r="Y1047" s="57"/>
      <c r="Z1047" s="57"/>
      <c r="AA1047" s="57"/>
      <c r="AB1047" s="57"/>
      <c r="AC1047" s="57"/>
      <c r="AD1047" s="57"/>
      <c r="AE1047" s="57"/>
      <c r="AF1047" s="57"/>
      <c r="AG1047" s="57"/>
      <c r="AH1047" s="57"/>
      <c r="AI1047" s="57"/>
      <c r="AJ1047" s="57"/>
      <c r="AK1047" s="57"/>
      <c r="AL1047" s="57"/>
      <c r="AM1047" s="57"/>
      <c r="AN1047" s="57"/>
      <c r="AO1047" s="57"/>
      <c r="AP1047" s="57"/>
      <c r="AQ1047" s="57"/>
      <c r="AR1047" s="57"/>
      <c r="AS1047" s="57"/>
      <c r="AT1047" s="57"/>
      <c r="AU1047" s="58">
        <f t="shared" si="16"/>
        <v>113.55200000000002</v>
      </c>
      <c r="AV1047" s="58"/>
    </row>
    <row r="1048" spans="1:48" ht="13.5" customHeight="1">
      <c r="A1048" s="82">
        <v>1046</v>
      </c>
      <c r="B1048" s="55">
        <v>1505</v>
      </c>
      <c r="C1048" s="55" t="s">
        <v>39</v>
      </c>
      <c r="D1048" s="175">
        <v>101.51</v>
      </c>
      <c r="H1048" s="56">
        <v>0</v>
      </c>
      <c r="I1048" s="56">
        <v>560</v>
      </c>
      <c r="J1048" s="148">
        <v>391.69</v>
      </c>
      <c r="K1048" s="57"/>
      <c r="L1048" s="57"/>
      <c r="M1048" s="57"/>
      <c r="N1048" s="57"/>
      <c r="O1048" s="57"/>
      <c r="P1048" s="57"/>
      <c r="Q1048" s="57"/>
      <c r="R1048" s="57"/>
      <c r="S1048" s="57"/>
      <c r="T1048" s="57"/>
      <c r="U1048" s="57"/>
      <c r="V1048" s="57"/>
      <c r="W1048" s="57">
        <v>48.8</v>
      </c>
      <c r="X1048" s="57"/>
      <c r="Y1048" s="57"/>
      <c r="Z1048" s="57"/>
      <c r="AA1048" s="57"/>
      <c r="AB1048" s="57"/>
      <c r="AC1048" s="57"/>
      <c r="AD1048" s="57"/>
      <c r="AE1048" s="57"/>
      <c r="AF1048" s="57"/>
      <c r="AG1048" s="57"/>
      <c r="AH1048" s="57">
        <v>18</v>
      </c>
      <c r="AI1048" s="57"/>
      <c r="AJ1048" s="57"/>
      <c r="AK1048" s="57"/>
      <c r="AL1048" s="57"/>
      <c r="AM1048" s="57"/>
      <c r="AN1048" s="57"/>
      <c r="AO1048" s="57"/>
      <c r="AP1048" s="57"/>
      <c r="AQ1048" s="57"/>
      <c r="AR1048" s="57"/>
      <c r="AS1048" s="57"/>
      <c r="AT1048" s="57"/>
      <c r="AU1048" s="58">
        <f t="shared" si="16"/>
        <v>101.51</v>
      </c>
      <c r="AV1048" s="58"/>
    </row>
    <row r="1049" spans="1:48" ht="14.25" customHeight="1">
      <c r="A1049" s="84">
        <v>1047</v>
      </c>
      <c r="B1049" s="55">
        <v>1512</v>
      </c>
      <c r="C1049" s="55" t="s">
        <v>39</v>
      </c>
      <c r="D1049" s="175">
        <v>1190</v>
      </c>
      <c r="H1049" s="56"/>
      <c r="I1049" s="56">
        <v>1400</v>
      </c>
      <c r="J1049" s="148"/>
      <c r="K1049" s="57"/>
      <c r="L1049" s="57"/>
      <c r="M1049" s="57"/>
      <c r="N1049" s="57"/>
      <c r="O1049" s="57"/>
      <c r="P1049" s="57"/>
      <c r="Q1049" s="57"/>
      <c r="R1049" s="57"/>
      <c r="S1049" s="57"/>
      <c r="T1049" s="57"/>
      <c r="U1049" s="57"/>
      <c r="V1049" s="57"/>
      <c r="W1049" s="57"/>
      <c r="X1049" s="57">
        <v>160</v>
      </c>
      <c r="Y1049" s="57"/>
      <c r="Z1049" s="57"/>
      <c r="AA1049" s="57">
        <v>50</v>
      </c>
      <c r="AB1049" s="57"/>
      <c r="AC1049" s="57"/>
      <c r="AD1049" s="57"/>
      <c r="AE1049" s="57"/>
      <c r="AF1049" s="57"/>
      <c r="AG1049" s="57"/>
      <c r="AH1049" s="57"/>
      <c r="AI1049" s="57"/>
      <c r="AJ1049" s="57"/>
      <c r="AK1049" s="57"/>
      <c r="AL1049" s="57"/>
      <c r="AM1049" s="57"/>
      <c r="AN1049" s="57"/>
      <c r="AO1049" s="57"/>
      <c r="AP1049" s="57"/>
      <c r="AQ1049" s="57"/>
      <c r="AR1049" s="57"/>
      <c r="AS1049" s="57"/>
      <c r="AT1049" s="57"/>
      <c r="AU1049" s="58">
        <f t="shared" si="16"/>
        <v>1190</v>
      </c>
      <c r="AV1049" s="58"/>
    </row>
    <row r="1050" spans="1:48" ht="13.5" customHeight="1">
      <c r="A1050" s="84">
        <v>1048</v>
      </c>
      <c r="B1050" s="55">
        <v>1513</v>
      </c>
      <c r="C1050" s="55" t="s">
        <v>39</v>
      </c>
      <c r="D1050" s="175">
        <v>179</v>
      </c>
      <c r="H1050" s="56"/>
      <c r="I1050" s="56">
        <v>560</v>
      </c>
      <c r="J1050" s="148">
        <v>0</v>
      </c>
      <c r="K1050" s="57"/>
      <c r="L1050" s="57"/>
      <c r="M1050" s="57"/>
      <c r="N1050" s="57"/>
      <c r="O1050" s="57"/>
      <c r="P1050" s="57"/>
      <c r="Q1050" s="57"/>
      <c r="R1050" s="57"/>
      <c r="S1050" s="57"/>
      <c r="T1050" s="57"/>
      <c r="U1050" s="57"/>
      <c r="V1050" s="57"/>
      <c r="W1050" s="57"/>
      <c r="X1050" s="57"/>
      <c r="Y1050" s="57"/>
      <c r="Z1050" s="57">
        <v>20</v>
      </c>
      <c r="AA1050" s="57"/>
      <c r="AB1050" s="57"/>
      <c r="AC1050" s="57"/>
      <c r="AD1050" s="57"/>
      <c r="AE1050" s="57"/>
      <c r="AF1050" s="57"/>
      <c r="AG1050" s="57"/>
      <c r="AH1050" s="57"/>
      <c r="AI1050" s="57"/>
      <c r="AJ1050" s="57"/>
      <c r="AK1050" s="57"/>
      <c r="AL1050" s="57"/>
      <c r="AM1050" s="57"/>
      <c r="AN1050" s="57"/>
      <c r="AO1050" s="57"/>
      <c r="AP1050" s="57">
        <v>45</v>
      </c>
      <c r="AQ1050" s="57">
        <v>316</v>
      </c>
      <c r="AR1050" s="57"/>
      <c r="AS1050" s="57"/>
      <c r="AT1050" s="57"/>
      <c r="AU1050" s="58">
        <f t="shared" si="16"/>
        <v>179</v>
      </c>
      <c r="AV1050" s="58"/>
    </row>
    <row r="1051" spans="1:48" ht="13.5" customHeight="1">
      <c r="A1051" s="82">
        <v>1049</v>
      </c>
      <c r="B1051" s="55">
        <v>1517</v>
      </c>
      <c r="C1051" s="55" t="s">
        <v>39</v>
      </c>
      <c r="D1051" s="175">
        <v>516.96</v>
      </c>
      <c r="H1051" s="56">
        <v>0</v>
      </c>
      <c r="I1051" s="56">
        <v>1400</v>
      </c>
      <c r="J1051" s="148">
        <v>713.04</v>
      </c>
      <c r="K1051" s="57"/>
      <c r="L1051" s="57"/>
      <c r="M1051" s="57"/>
      <c r="N1051" s="57"/>
      <c r="O1051" s="57"/>
      <c r="P1051" s="57"/>
      <c r="Q1051" s="57"/>
      <c r="R1051" s="57"/>
      <c r="S1051" s="57"/>
      <c r="T1051" s="57">
        <v>100</v>
      </c>
      <c r="U1051" s="57"/>
      <c r="V1051" s="57"/>
      <c r="W1051" s="57"/>
      <c r="X1051" s="57"/>
      <c r="Y1051" s="57"/>
      <c r="Z1051" s="57"/>
      <c r="AA1051" s="57"/>
      <c r="AB1051" s="57"/>
      <c r="AC1051" s="57"/>
      <c r="AD1051" s="57"/>
      <c r="AE1051" s="57"/>
      <c r="AF1051" s="57"/>
      <c r="AG1051" s="57"/>
      <c r="AH1051" s="57"/>
      <c r="AI1051" s="57"/>
      <c r="AJ1051" s="57"/>
      <c r="AK1051" s="57"/>
      <c r="AL1051" s="57"/>
      <c r="AM1051" s="57"/>
      <c r="AN1051" s="57"/>
      <c r="AO1051" s="57"/>
      <c r="AP1051" s="57"/>
      <c r="AQ1051" s="57"/>
      <c r="AR1051" s="57"/>
      <c r="AS1051" s="57"/>
      <c r="AT1051" s="57">
        <v>70</v>
      </c>
      <c r="AU1051" s="58">
        <f t="shared" si="16"/>
        <v>516.96</v>
      </c>
      <c r="AV1051" s="58"/>
    </row>
    <row r="1052" spans="1:48">
      <c r="A1052" s="84">
        <v>1050</v>
      </c>
      <c r="B1052" s="98">
        <v>1518</v>
      </c>
      <c r="C1052" s="156" t="s">
        <v>39</v>
      </c>
      <c r="D1052" s="178">
        <v>415.81999999999994</v>
      </c>
      <c r="H1052" s="117"/>
      <c r="I1052" s="118">
        <v>882</v>
      </c>
      <c r="J1052" s="118">
        <v>221.18</v>
      </c>
      <c r="K1052" s="117"/>
      <c r="L1052" s="117"/>
      <c r="M1052" s="117"/>
      <c r="N1052" s="117"/>
      <c r="O1052" s="117"/>
      <c r="P1052" s="117"/>
      <c r="Q1052" s="117"/>
      <c r="R1052" s="117"/>
      <c r="S1052" s="117"/>
      <c r="T1052" s="117"/>
      <c r="U1052" s="117"/>
      <c r="V1052" s="117"/>
      <c r="W1052" s="117"/>
      <c r="X1052" s="117"/>
      <c r="Y1052" s="117"/>
      <c r="Z1052" s="117"/>
      <c r="AA1052" s="117"/>
      <c r="AB1052" s="117"/>
      <c r="AC1052" s="117"/>
      <c r="AD1052" s="117"/>
      <c r="AE1052" s="117"/>
      <c r="AF1052" s="117"/>
      <c r="AG1052" s="117"/>
      <c r="AH1052" s="117"/>
      <c r="AI1052" s="117"/>
      <c r="AJ1052" s="118">
        <v>245</v>
      </c>
      <c r="AK1052" s="118"/>
      <c r="AL1052" s="118"/>
      <c r="AM1052" s="118"/>
      <c r="AN1052" s="118"/>
      <c r="AO1052" s="118"/>
      <c r="AP1052" s="118"/>
      <c r="AQ1052" s="118"/>
      <c r="AR1052" s="118"/>
      <c r="AS1052" s="118"/>
      <c r="AT1052" s="118"/>
      <c r="AU1052" s="58">
        <f t="shared" si="16"/>
        <v>415.81999999999994</v>
      </c>
    </row>
    <row r="1053" spans="1:48" ht="13.5" customHeight="1">
      <c r="A1053" s="82">
        <v>1051</v>
      </c>
      <c r="B1053" s="55">
        <v>1526</v>
      </c>
      <c r="C1053" s="55" t="s">
        <v>39</v>
      </c>
      <c r="D1053" s="175">
        <v>-230</v>
      </c>
      <c r="H1053" s="56"/>
      <c r="I1053" s="56">
        <v>1400</v>
      </c>
      <c r="J1053" s="148"/>
      <c r="K1053" s="57"/>
      <c r="L1053" s="57"/>
      <c r="M1053" s="57"/>
      <c r="N1053" s="57"/>
      <c r="O1053" s="57"/>
      <c r="P1053" s="57"/>
      <c r="Q1053" s="57"/>
      <c r="R1053" s="57"/>
      <c r="S1053" s="57"/>
      <c r="T1053" s="57"/>
      <c r="U1053" s="57"/>
      <c r="V1053" s="57"/>
      <c r="W1053" s="57"/>
      <c r="X1053" s="57"/>
      <c r="Y1053" s="57"/>
      <c r="Z1053" s="57"/>
      <c r="AA1053" s="57"/>
      <c r="AB1053" s="57">
        <v>1520</v>
      </c>
      <c r="AC1053" s="57">
        <v>80</v>
      </c>
      <c r="AD1053" s="57"/>
      <c r="AE1053" s="57"/>
      <c r="AF1053" s="57"/>
      <c r="AG1053" s="57"/>
      <c r="AH1053" s="57"/>
      <c r="AI1053" s="57"/>
      <c r="AJ1053" s="57"/>
      <c r="AK1053" s="57"/>
      <c r="AL1053" s="57">
        <v>30</v>
      </c>
      <c r="AM1053" s="57"/>
      <c r="AN1053" s="57"/>
      <c r="AO1053" s="57"/>
      <c r="AP1053" s="57"/>
      <c r="AQ1053" s="57"/>
      <c r="AR1053" s="57"/>
      <c r="AS1053" s="57"/>
      <c r="AT1053" s="57"/>
      <c r="AU1053" s="58">
        <f t="shared" si="16"/>
        <v>-230</v>
      </c>
      <c r="AV1053" s="58"/>
    </row>
    <row r="1054" spans="1:48" ht="13.5" customHeight="1">
      <c r="A1054" s="84">
        <v>1052</v>
      </c>
      <c r="B1054" s="55">
        <v>1530</v>
      </c>
      <c r="C1054" s="55" t="s">
        <v>39</v>
      </c>
      <c r="D1054" s="175">
        <v>677.99999999999989</v>
      </c>
      <c r="H1054" s="56"/>
      <c r="I1054" s="56">
        <v>1400</v>
      </c>
      <c r="J1054" s="148"/>
      <c r="K1054" s="57"/>
      <c r="L1054" s="57"/>
      <c r="M1054" s="57"/>
      <c r="N1054" s="57"/>
      <c r="O1054" s="57"/>
      <c r="P1054" s="57"/>
      <c r="Q1054" s="57"/>
      <c r="R1054" s="57"/>
      <c r="S1054" s="57"/>
      <c r="T1054" s="57"/>
      <c r="U1054" s="57">
        <v>335.9</v>
      </c>
      <c r="V1054" s="57"/>
      <c r="W1054" s="57"/>
      <c r="X1054" s="57"/>
      <c r="Y1054" s="57"/>
      <c r="Z1054" s="57"/>
      <c r="AA1054" s="57"/>
      <c r="AB1054" s="57"/>
      <c r="AC1054" s="57"/>
      <c r="AD1054" s="57"/>
      <c r="AE1054" s="57"/>
      <c r="AF1054" s="57"/>
      <c r="AG1054" s="57"/>
      <c r="AH1054" s="57">
        <v>386.1</v>
      </c>
      <c r="AI1054" s="57"/>
      <c r="AJ1054" s="57"/>
      <c r="AK1054" s="57"/>
      <c r="AL1054" s="57"/>
      <c r="AM1054" s="57"/>
      <c r="AN1054" s="57"/>
      <c r="AO1054" s="57"/>
      <c r="AP1054" s="57"/>
      <c r="AQ1054" s="57"/>
      <c r="AR1054" s="57"/>
      <c r="AS1054" s="57"/>
      <c r="AT1054" s="57"/>
      <c r="AU1054" s="58">
        <f t="shared" si="16"/>
        <v>677.99999999999989</v>
      </c>
      <c r="AV1054" s="58"/>
    </row>
    <row r="1055" spans="1:48" ht="13.5" customHeight="1">
      <c r="A1055" s="84">
        <v>1053</v>
      </c>
      <c r="B1055" s="55">
        <v>1532</v>
      </c>
      <c r="C1055" s="55" t="s">
        <v>39</v>
      </c>
      <c r="D1055" s="175">
        <v>-1665.69</v>
      </c>
      <c r="H1055" s="56">
        <v>0</v>
      </c>
      <c r="I1055" s="56">
        <v>1400</v>
      </c>
      <c r="J1055" s="148">
        <v>1059.05</v>
      </c>
      <c r="K1055" s="57"/>
      <c r="L1055" s="57"/>
      <c r="M1055" s="57"/>
      <c r="N1055" s="57"/>
      <c r="O1055" s="57"/>
      <c r="P1055" s="57">
        <v>160</v>
      </c>
      <c r="Q1055" s="57"/>
      <c r="R1055" s="57"/>
      <c r="S1055" s="57"/>
      <c r="T1055" s="57"/>
      <c r="U1055" s="57"/>
      <c r="V1055" s="57"/>
      <c r="W1055" s="57"/>
      <c r="X1055" s="57"/>
      <c r="Y1055" s="57">
        <v>444.32</v>
      </c>
      <c r="Z1055" s="57"/>
      <c r="AA1055" s="57"/>
      <c r="AB1055" s="57">
        <v>671.16</v>
      </c>
      <c r="AC1055" s="57"/>
      <c r="AD1055" s="57"/>
      <c r="AE1055" s="57">
        <v>731.16</v>
      </c>
      <c r="AF1055" s="57"/>
      <c r="AG1055" s="57"/>
      <c r="AH1055" s="57"/>
      <c r="AI1055" s="57"/>
      <c r="AJ1055" s="57"/>
      <c r="AK1055" s="57"/>
      <c r="AL1055" s="57"/>
      <c r="AM1055" s="57"/>
      <c r="AN1055" s="57"/>
      <c r="AO1055" s="57"/>
      <c r="AP1055" s="57"/>
      <c r="AQ1055" s="57"/>
      <c r="AR1055" s="57"/>
      <c r="AS1055" s="57"/>
      <c r="AT1055" s="57"/>
      <c r="AU1055" s="58">
        <f t="shared" si="16"/>
        <v>-1665.69</v>
      </c>
      <c r="AV1055" s="58"/>
    </row>
    <row r="1056" spans="1:48" ht="13.5" customHeight="1">
      <c r="A1056" s="82">
        <v>1054</v>
      </c>
      <c r="B1056" s="55">
        <v>1537</v>
      </c>
      <c r="C1056" s="55" t="s">
        <v>39</v>
      </c>
      <c r="D1056" s="175">
        <v>848.05400000000009</v>
      </c>
      <c r="H1056" s="56">
        <v>0</v>
      </c>
      <c r="I1056" s="56">
        <v>1400</v>
      </c>
      <c r="J1056" s="148">
        <v>184.21600000000001</v>
      </c>
      <c r="K1056" s="57"/>
      <c r="L1056" s="57"/>
      <c r="M1056" s="57"/>
      <c r="N1056" s="57"/>
      <c r="O1056" s="57"/>
      <c r="P1056" s="57"/>
      <c r="Q1056" s="57"/>
      <c r="R1056" s="57"/>
      <c r="S1056" s="57"/>
      <c r="T1056" s="57"/>
      <c r="U1056" s="57"/>
      <c r="V1056" s="57"/>
      <c r="W1056" s="57"/>
      <c r="X1056" s="57"/>
      <c r="Y1056" s="57"/>
      <c r="Z1056" s="57"/>
      <c r="AA1056" s="57">
        <v>367.73</v>
      </c>
      <c r="AB1056" s="57"/>
      <c r="AC1056" s="57"/>
      <c r="AD1056" s="57"/>
      <c r="AE1056" s="57"/>
      <c r="AF1056" s="57"/>
      <c r="AG1056" s="57"/>
      <c r="AH1056" s="57"/>
      <c r="AI1056" s="57"/>
      <c r="AJ1056" s="57"/>
      <c r="AK1056" s="57"/>
      <c r="AL1056" s="57"/>
      <c r="AM1056" s="57"/>
      <c r="AN1056" s="57"/>
      <c r="AO1056" s="57"/>
      <c r="AP1056" s="57"/>
      <c r="AQ1056" s="57"/>
      <c r="AR1056" s="57"/>
      <c r="AS1056" s="57"/>
      <c r="AT1056" s="57"/>
      <c r="AU1056" s="58">
        <f t="shared" si="16"/>
        <v>848.05400000000009</v>
      </c>
      <c r="AV1056" s="58"/>
    </row>
    <row r="1057" spans="1:48" ht="13.5" customHeight="1">
      <c r="A1057" s="84">
        <v>1055</v>
      </c>
      <c r="B1057" s="55">
        <v>1548</v>
      </c>
      <c r="C1057" s="55" t="s">
        <v>39</v>
      </c>
      <c r="D1057" s="175">
        <v>879.8</v>
      </c>
      <c r="H1057" s="56">
        <v>0</v>
      </c>
      <c r="I1057" s="56">
        <v>1400</v>
      </c>
      <c r="J1057" s="148">
        <v>288</v>
      </c>
      <c r="K1057" s="57"/>
      <c r="L1057" s="57"/>
      <c r="M1057" s="57"/>
      <c r="N1057" s="57"/>
      <c r="O1057" s="57"/>
      <c r="P1057" s="57"/>
      <c r="Q1057" s="57"/>
      <c r="R1057" s="57"/>
      <c r="S1057" s="57"/>
      <c r="T1057" s="57"/>
      <c r="U1057" s="57"/>
      <c r="V1057" s="57"/>
      <c r="W1057" s="57"/>
      <c r="X1057" s="57"/>
      <c r="Y1057" s="57"/>
      <c r="Z1057" s="57"/>
      <c r="AA1057" s="57"/>
      <c r="AB1057" s="57"/>
      <c r="AC1057" s="57"/>
      <c r="AD1057" s="57"/>
      <c r="AE1057" s="57"/>
      <c r="AF1057" s="57"/>
      <c r="AG1057" s="57"/>
      <c r="AH1057" s="57">
        <v>232.2</v>
      </c>
      <c r="AI1057" s="57"/>
      <c r="AJ1057" s="57"/>
      <c r="AK1057" s="57"/>
      <c r="AL1057" s="57"/>
      <c r="AM1057" s="57"/>
      <c r="AN1057" s="57"/>
      <c r="AO1057" s="57"/>
      <c r="AP1057" s="57"/>
      <c r="AQ1057" s="57"/>
      <c r="AR1057" s="57"/>
      <c r="AS1057" s="57"/>
      <c r="AT1057" s="57"/>
      <c r="AU1057" s="58">
        <f t="shared" si="16"/>
        <v>879.8</v>
      </c>
      <c r="AV1057" s="58"/>
    </row>
    <row r="1058" spans="1:48" ht="13.5" customHeight="1">
      <c r="A1058" s="82">
        <v>1056</v>
      </c>
      <c r="B1058" s="55">
        <v>1551</v>
      </c>
      <c r="C1058" s="55" t="s">
        <v>39</v>
      </c>
      <c r="D1058" s="175">
        <v>916.23</v>
      </c>
      <c r="H1058" s="56">
        <v>0</v>
      </c>
      <c r="I1058" s="56">
        <v>1400</v>
      </c>
      <c r="J1058" s="148">
        <v>428.77</v>
      </c>
      <c r="K1058" s="57"/>
      <c r="L1058" s="57"/>
      <c r="M1058" s="57"/>
      <c r="N1058" s="57"/>
      <c r="O1058" s="57"/>
      <c r="P1058" s="57"/>
      <c r="Q1058" s="57"/>
      <c r="R1058" s="57"/>
      <c r="S1058" s="57"/>
      <c r="T1058" s="57"/>
      <c r="U1058" s="57"/>
      <c r="V1058" s="57"/>
      <c r="W1058" s="57"/>
      <c r="X1058" s="57"/>
      <c r="Y1058" s="57"/>
      <c r="Z1058" s="57"/>
      <c r="AA1058" s="57"/>
      <c r="AB1058" s="57"/>
      <c r="AC1058" s="57"/>
      <c r="AD1058" s="57"/>
      <c r="AE1058" s="57"/>
      <c r="AF1058" s="57"/>
      <c r="AG1058" s="57"/>
      <c r="AH1058" s="57"/>
      <c r="AI1058" s="57"/>
      <c r="AJ1058" s="57"/>
      <c r="AK1058" s="57"/>
      <c r="AL1058" s="57"/>
      <c r="AM1058" s="57">
        <v>55</v>
      </c>
      <c r="AN1058" s="57"/>
      <c r="AO1058" s="57"/>
      <c r="AP1058" s="57"/>
      <c r="AQ1058" s="57"/>
      <c r="AR1058" s="57"/>
      <c r="AS1058" s="57"/>
      <c r="AT1058" s="57"/>
      <c r="AU1058" s="58">
        <f t="shared" si="16"/>
        <v>916.23</v>
      </c>
      <c r="AV1058" s="58"/>
    </row>
    <row r="1059" spans="1:48" ht="13.5" customHeight="1">
      <c r="A1059" s="84">
        <v>1057</v>
      </c>
      <c r="B1059" s="55">
        <v>1553</v>
      </c>
      <c r="C1059" s="55" t="s">
        <v>39</v>
      </c>
      <c r="D1059" s="175">
        <v>-521.1</v>
      </c>
      <c r="H1059" s="56">
        <v>0</v>
      </c>
      <c r="I1059" s="56">
        <v>660</v>
      </c>
      <c r="J1059" s="148">
        <v>280</v>
      </c>
      <c r="K1059" s="57"/>
      <c r="L1059" s="57"/>
      <c r="M1059" s="57"/>
      <c r="N1059" s="57"/>
      <c r="O1059" s="57"/>
      <c r="P1059" s="57"/>
      <c r="Q1059" s="57"/>
      <c r="R1059" s="57"/>
      <c r="S1059" s="57"/>
      <c r="T1059" s="57"/>
      <c r="U1059" s="57"/>
      <c r="V1059" s="57"/>
      <c r="W1059" s="57">
        <v>541.1</v>
      </c>
      <c r="X1059" s="57">
        <v>300</v>
      </c>
      <c r="Y1059" s="57"/>
      <c r="Z1059" s="57"/>
      <c r="AA1059" s="57"/>
      <c r="AB1059" s="57"/>
      <c r="AC1059" s="57"/>
      <c r="AD1059" s="57"/>
      <c r="AE1059" s="57"/>
      <c r="AF1059" s="57"/>
      <c r="AG1059" s="57"/>
      <c r="AH1059" s="57"/>
      <c r="AI1059" s="57">
        <v>60</v>
      </c>
      <c r="AJ1059" s="57"/>
      <c r="AK1059" s="57"/>
      <c r="AL1059" s="57"/>
      <c r="AM1059" s="57"/>
      <c r="AN1059" s="57"/>
      <c r="AO1059" s="57"/>
      <c r="AP1059" s="57"/>
      <c r="AQ1059" s="57"/>
      <c r="AR1059" s="57"/>
      <c r="AS1059" s="57"/>
      <c r="AT1059" s="57"/>
      <c r="AU1059" s="58">
        <f t="shared" si="16"/>
        <v>-521.1</v>
      </c>
      <c r="AV1059" s="58"/>
    </row>
    <row r="1060" spans="1:48" ht="13.5" customHeight="1">
      <c r="A1060" s="84">
        <v>1058</v>
      </c>
      <c r="B1060" s="55">
        <v>1562</v>
      </c>
      <c r="C1060" s="55" t="s">
        <v>39</v>
      </c>
      <c r="D1060" s="175">
        <v>120.59999999999991</v>
      </c>
      <c r="H1060" s="56"/>
      <c r="I1060" s="56">
        <v>1400</v>
      </c>
      <c r="J1060" s="148">
        <v>1179.4000000000001</v>
      </c>
      <c r="K1060" s="57"/>
      <c r="L1060" s="57"/>
      <c r="M1060" s="57"/>
      <c r="N1060" s="57"/>
      <c r="O1060" s="57"/>
      <c r="P1060" s="57"/>
      <c r="Q1060" s="57"/>
      <c r="R1060" s="57"/>
      <c r="S1060" s="57"/>
      <c r="T1060" s="57"/>
      <c r="U1060" s="57"/>
      <c r="V1060" s="57"/>
      <c r="W1060" s="57"/>
      <c r="X1060" s="57"/>
      <c r="Y1060" s="57"/>
      <c r="Z1060" s="57"/>
      <c r="AA1060" s="57"/>
      <c r="AB1060" s="57"/>
      <c r="AC1060" s="57"/>
      <c r="AD1060" s="57"/>
      <c r="AE1060" s="57"/>
      <c r="AF1060" s="57"/>
      <c r="AG1060" s="57"/>
      <c r="AH1060" s="57"/>
      <c r="AI1060" s="57"/>
      <c r="AJ1060" s="57"/>
      <c r="AK1060" s="57"/>
      <c r="AL1060" s="57"/>
      <c r="AM1060" s="57"/>
      <c r="AN1060" s="57"/>
      <c r="AO1060" s="57">
        <v>100</v>
      </c>
      <c r="AP1060" s="57"/>
      <c r="AQ1060" s="57"/>
      <c r="AR1060" s="57"/>
      <c r="AS1060" s="57"/>
      <c r="AT1060" s="57"/>
      <c r="AU1060" s="58">
        <f t="shared" si="16"/>
        <v>120.59999999999991</v>
      </c>
      <c r="AV1060" s="58"/>
    </row>
    <row r="1061" spans="1:48" ht="13.5" customHeight="1">
      <c r="A1061" s="82">
        <v>1059</v>
      </c>
      <c r="B1061" s="55">
        <v>1566</v>
      </c>
      <c r="C1061" s="55" t="s">
        <v>39</v>
      </c>
      <c r="D1061" s="175">
        <v>750</v>
      </c>
      <c r="H1061" s="56"/>
      <c r="I1061" s="56">
        <v>1400</v>
      </c>
      <c r="J1061" s="148"/>
      <c r="K1061" s="57"/>
      <c r="L1061" s="57"/>
      <c r="M1061" s="57"/>
      <c r="N1061" s="57"/>
      <c r="O1061" s="57"/>
      <c r="P1061" s="57"/>
      <c r="Q1061" s="57"/>
      <c r="R1061" s="57"/>
      <c r="S1061" s="57"/>
      <c r="T1061" s="57"/>
      <c r="U1061" s="57"/>
      <c r="V1061" s="57"/>
      <c r="W1061" s="57"/>
      <c r="X1061" s="57">
        <v>350</v>
      </c>
      <c r="Y1061" s="57"/>
      <c r="Z1061" s="57"/>
      <c r="AA1061" s="57">
        <v>300</v>
      </c>
      <c r="AB1061" s="57"/>
      <c r="AC1061" s="57"/>
      <c r="AD1061" s="57"/>
      <c r="AE1061" s="57"/>
      <c r="AF1061" s="57"/>
      <c r="AG1061" s="57"/>
      <c r="AH1061" s="57"/>
      <c r="AI1061" s="57"/>
      <c r="AJ1061" s="57"/>
      <c r="AK1061" s="57"/>
      <c r="AL1061" s="57"/>
      <c r="AM1061" s="57"/>
      <c r="AN1061" s="57"/>
      <c r="AO1061" s="57"/>
      <c r="AP1061" s="57"/>
      <c r="AQ1061" s="57"/>
      <c r="AR1061" s="57"/>
      <c r="AS1061" s="57"/>
      <c r="AT1061" s="57"/>
      <c r="AU1061" s="58">
        <f t="shared" si="16"/>
        <v>750</v>
      </c>
      <c r="AV1061" s="58"/>
    </row>
    <row r="1062" spans="1:48" ht="13.5" customHeight="1">
      <c r="A1062" s="84">
        <v>1060</v>
      </c>
      <c r="B1062" s="55">
        <v>1576</v>
      </c>
      <c r="C1062" s="55" t="s">
        <v>39</v>
      </c>
      <c r="D1062" s="175">
        <v>-272</v>
      </c>
      <c r="H1062" s="56"/>
      <c r="I1062" s="56">
        <v>350</v>
      </c>
      <c r="J1062" s="148">
        <v>0</v>
      </c>
      <c r="K1062" s="57"/>
      <c r="L1062" s="57"/>
      <c r="M1062" s="57"/>
      <c r="N1062" s="57"/>
      <c r="O1062" s="57"/>
      <c r="P1062" s="57"/>
      <c r="Q1062" s="57"/>
      <c r="R1062" s="57"/>
      <c r="S1062" s="57"/>
      <c r="T1062" s="57"/>
      <c r="U1062" s="57"/>
      <c r="V1062" s="57"/>
      <c r="W1062" s="57"/>
      <c r="X1062" s="57"/>
      <c r="Y1062" s="57"/>
      <c r="Z1062" s="57"/>
      <c r="AA1062" s="57"/>
      <c r="AB1062" s="57">
        <v>150</v>
      </c>
      <c r="AC1062" s="57"/>
      <c r="AD1062" s="57">
        <v>75</v>
      </c>
      <c r="AE1062" s="57"/>
      <c r="AF1062" s="57"/>
      <c r="AG1062" s="57">
        <v>150</v>
      </c>
      <c r="AH1062" s="57"/>
      <c r="AI1062" s="57"/>
      <c r="AJ1062" s="57">
        <v>150</v>
      </c>
      <c r="AK1062" s="57">
        <f>50+47</f>
        <v>97</v>
      </c>
      <c r="AL1062" s="57"/>
      <c r="AM1062" s="57"/>
      <c r="AN1062" s="57"/>
      <c r="AO1062" s="57"/>
      <c r="AP1062" s="57"/>
      <c r="AQ1062" s="57"/>
      <c r="AR1062" s="57"/>
      <c r="AS1062" s="57"/>
      <c r="AT1062" s="57"/>
      <c r="AU1062" s="58">
        <f t="shared" si="16"/>
        <v>-272</v>
      </c>
      <c r="AV1062" s="58"/>
    </row>
    <row r="1063" spans="1:48" ht="13.5" customHeight="1">
      <c r="A1063" s="82">
        <v>1061</v>
      </c>
      <c r="B1063" s="55">
        <v>1582</v>
      </c>
      <c r="C1063" s="55" t="s">
        <v>39</v>
      </c>
      <c r="D1063" s="175">
        <v>340</v>
      </c>
      <c r="H1063" s="56"/>
      <c r="I1063" s="56">
        <v>1400</v>
      </c>
      <c r="J1063" s="148">
        <v>980</v>
      </c>
      <c r="K1063" s="57"/>
      <c r="L1063" s="57"/>
      <c r="M1063" s="57"/>
      <c r="N1063" s="57"/>
      <c r="O1063" s="57"/>
      <c r="P1063" s="57"/>
      <c r="Q1063" s="57"/>
      <c r="R1063" s="57"/>
      <c r="S1063" s="57"/>
      <c r="T1063" s="57"/>
      <c r="U1063" s="57"/>
      <c r="V1063" s="57"/>
      <c r="W1063" s="57"/>
      <c r="X1063" s="57"/>
      <c r="Y1063" s="57"/>
      <c r="Z1063" s="57"/>
      <c r="AA1063" s="57"/>
      <c r="AB1063" s="57"/>
      <c r="AC1063" s="57"/>
      <c r="AD1063" s="57"/>
      <c r="AE1063" s="57"/>
      <c r="AF1063" s="57">
        <v>80</v>
      </c>
      <c r="AG1063" s="57"/>
      <c r="AH1063" s="57"/>
      <c r="AI1063" s="57"/>
      <c r="AJ1063" s="57"/>
      <c r="AK1063" s="57"/>
      <c r="AL1063" s="57"/>
      <c r="AM1063" s="57"/>
      <c r="AN1063" s="57"/>
      <c r="AO1063" s="57"/>
      <c r="AP1063" s="57"/>
      <c r="AQ1063" s="57"/>
      <c r="AR1063" s="57"/>
      <c r="AS1063" s="57"/>
      <c r="AT1063" s="57"/>
      <c r="AU1063" s="58">
        <f t="shared" si="16"/>
        <v>340</v>
      </c>
      <c r="AV1063" s="58"/>
    </row>
    <row r="1064" spans="1:48" ht="13.5" customHeight="1">
      <c r="A1064" s="84">
        <v>1062</v>
      </c>
      <c r="B1064" s="55">
        <v>1584</v>
      </c>
      <c r="C1064" s="55" t="s">
        <v>39</v>
      </c>
      <c r="D1064" s="175">
        <v>-81.210000000000093</v>
      </c>
      <c r="H1064" s="56"/>
      <c r="I1064" s="56">
        <v>1400</v>
      </c>
      <c r="J1064" s="148">
        <v>1200.4100000000001</v>
      </c>
      <c r="K1064" s="57"/>
      <c r="L1064" s="57"/>
      <c r="M1064" s="57"/>
      <c r="N1064" s="57"/>
      <c r="O1064" s="57"/>
      <c r="P1064" s="57"/>
      <c r="Q1064" s="57"/>
      <c r="R1064" s="57"/>
      <c r="S1064" s="57"/>
      <c r="T1064" s="57"/>
      <c r="U1064" s="57"/>
      <c r="V1064" s="57"/>
      <c r="W1064" s="57"/>
      <c r="X1064" s="57"/>
      <c r="Y1064" s="57"/>
      <c r="Z1064" s="57"/>
      <c r="AA1064" s="57"/>
      <c r="AB1064" s="57"/>
      <c r="AC1064" s="57"/>
      <c r="AD1064" s="57"/>
      <c r="AE1064" s="57"/>
      <c r="AF1064" s="57"/>
      <c r="AG1064" s="57"/>
      <c r="AH1064" s="57"/>
      <c r="AI1064" s="57">
        <v>40</v>
      </c>
      <c r="AJ1064" s="57"/>
      <c r="AK1064" s="57"/>
      <c r="AL1064" s="57"/>
      <c r="AM1064" s="57"/>
      <c r="AN1064" s="57"/>
      <c r="AO1064" s="57"/>
      <c r="AP1064" s="57"/>
      <c r="AQ1064" s="57">
        <v>240.8</v>
      </c>
      <c r="AR1064" s="57"/>
      <c r="AS1064" s="57"/>
      <c r="AT1064" s="57"/>
      <c r="AU1064" s="58">
        <f t="shared" si="16"/>
        <v>-81.210000000000093</v>
      </c>
      <c r="AV1064" s="58"/>
    </row>
    <row r="1065" spans="1:48" ht="13.5" customHeight="1">
      <c r="A1065" s="84">
        <v>1063</v>
      </c>
      <c r="B1065" s="55">
        <v>1589</v>
      </c>
      <c r="C1065" s="55" t="s">
        <v>39</v>
      </c>
      <c r="D1065" s="175">
        <v>676.2</v>
      </c>
      <c r="H1065" s="56"/>
      <c r="I1065" s="56">
        <v>1400</v>
      </c>
      <c r="J1065" s="148"/>
      <c r="K1065" s="57"/>
      <c r="L1065" s="57"/>
      <c r="M1065" s="57"/>
      <c r="N1065" s="57"/>
      <c r="O1065" s="57"/>
      <c r="P1065" s="57"/>
      <c r="Q1065" s="57"/>
      <c r="R1065" s="57"/>
      <c r="S1065" s="57"/>
      <c r="T1065" s="57">
        <v>70</v>
      </c>
      <c r="U1065" s="57">
        <v>240.8</v>
      </c>
      <c r="V1065" s="57"/>
      <c r="W1065" s="57"/>
      <c r="X1065" s="57"/>
      <c r="Y1065" s="57"/>
      <c r="Z1065" s="57">
        <v>150</v>
      </c>
      <c r="AA1065" s="57">
        <v>263</v>
      </c>
      <c r="AB1065" s="57"/>
      <c r="AC1065" s="57"/>
      <c r="AD1065" s="57"/>
      <c r="AE1065" s="57"/>
      <c r="AF1065" s="57"/>
      <c r="AG1065" s="57"/>
      <c r="AH1065" s="57"/>
      <c r="AI1065" s="57"/>
      <c r="AJ1065" s="57"/>
      <c r="AK1065" s="57"/>
      <c r="AL1065" s="57"/>
      <c r="AM1065" s="57"/>
      <c r="AN1065" s="57"/>
      <c r="AO1065" s="57"/>
      <c r="AP1065" s="57"/>
      <c r="AQ1065" s="57"/>
      <c r="AR1065" s="57"/>
      <c r="AS1065" s="57"/>
      <c r="AT1065" s="57"/>
      <c r="AU1065" s="58">
        <f t="shared" si="16"/>
        <v>676.2</v>
      </c>
      <c r="AV1065" s="58"/>
    </row>
    <row r="1066" spans="1:48" ht="13.5" customHeight="1">
      <c r="A1066" s="82">
        <v>1064</v>
      </c>
      <c r="B1066" s="224">
        <v>1593</v>
      </c>
      <c r="C1066" s="224" t="s">
        <v>39</v>
      </c>
      <c r="D1066" s="221">
        <v>-472.9</v>
      </c>
      <c r="E1066" s="167"/>
      <c r="F1066" s="167"/>
      <c r="G1066" s="167"/>
      <c r="H1066" s="166"/>
      <c r="I1066" s="166">
        <v>560</v>
      </c>
      <c r="J1066" s="250">
        <v>972.9</v>
      </c>
      <c r="K1066" s="168"/>
      <c r="L1066" s="168"/>
      <c r="M1066" s="168"/>
      <c r="N1066" s="168"/>
      <c r="O1066" s="168"/>
      <c r="P1066" s="168"/>
      <c r="Q1066" s="168"/>
      <c r="R1066" s="168"/>
      <c r="S1066" s="168"/>
      <c r="T1066" s="168"/>
      <c r="U1066" s="168"/>
      <c r="V1066" s="168"/>
      <c r="W1066" s="168"/>
      <c r="X1066" s="168"/>
      <c r="Y1066" s="168"/>
      <c r="Z1066" s="168"/>
      <c r="AA1066" s="168"/>
      <c r="AB1066" s="168"/>
      <c r="AC1066" s="168"/>
      <c r="AD1066" s="168"/>
      <c r="AE1066" s="168"/>
      <c r="AF1066" s="168"/>
      <c r="AG1066" s="168"/>
      <c r="AH1066" s="168"/>
      <c r="AI1066" s="168"/>
      <c r="AJ1066" s="168"/>
      <c r="AK1066" s="168"/>
      <c r="AL1066" s="168"/>
      <c r="AM1066" s="168"/>
      <c r="AN1066" s="168"/>
      <c r="AO1066" s="168"/>
      <c r="AP1066" s="168"/>
      <c r="AQ1066" s="168"/>
      <c r="AR1066" s="168"/>
      <c r="AS1066" s="168"/>
      <c r="AT1066" s="168">
        <v>60</v>
      </c>
      <c r="AU1066" s="58">
        <f t="shared" si="16"/>
        <v>-472.9</v>
      </c>
      <c r="AV1066" s="58"/>
    </row>
    <row r="1067" spans="1:48" ht="13.5" customHeight="1">
      <c r="A1067" s="82">
        <v>1065</v>
      </c>
      <c r="B1067" s="55">
        <v>1606</v>
      </c>
      <c r="C1067" s="55" t="s">
        <v>39</v>
      </c>
      <c r="D1067" s="175">
        <v>-1038.75</v>
      </c>
      <c r="F1067" s="45">
        <f>1000*1.4</f>
        <v>1400</v>
      </c>
      <c r="H1067" s="56"/>
      <c r="I1067" s="56">
        <f>$F$1067</f>
        <v>1400</v>
      </c>
      <c r="J1067" s="148">
        <v>1268.02</v>
      </c>
      <c r="K1067" s="57"/>
      <c r="L1067" s="57"/>
      <c r="M1067" s="57">
        <v>80</v>
      </c>
      <c r="N1067" s="57"/>
      <c r="O1067" s="57"/>
      <c r="P1067" s="57"/>
      <c r="Q1067" s="57"/>
      <c r="R1067" s="57"/>
      <c r="S1067" s="57"/>
      <c r="T1067" s="57"/>
      <c r="U1067" s="57">
        <v>400</v>
      </c>
      <c r="V1067" s="57"/>
      <c r="W1067" s="57"/>
      <c r="X1067" s="57">
        <v>400</v>
      </c>
      <c r="Y1067" s="57"/>
      <c r="Z1067" s="57">
        <v>170.73</v>
      </c>
      <c r="AA1067" s="57"/>
      <c r="AB1067" s="57"/>
      <c r="AC1067" s="57"/>
      <c r="AD1067" s="57"/>
      <c r="AE1067" s="57"/>
      <c r="AF1067" s="57">
        <v>120</v>
      </c>
      <c r="AG1067" s="57"/>
      <c r="AH1067" s="57"/>
      <c r="AI1067" s="57"/>
      <c r="AJ1067" s="57"/>
      <c r="AK1067" s="57"/>
      <c r="AL1067" s="57"/>
      <c r="AM1067" s="57"/>
      <c r="AN1067" s="57"/>
      <c r="AO1067" s="57"/>
      <c r="AP1067" s="57"/>
      <c r="AQ1067" s="57"/>
      <c r="AR1067" s="57"/>
      <c r="AS1067" s="57"/>
      <c r="AT1067" s="57"/>
      <c r="AU1067" s="58">
        <f t="shared" si="16"/>
        <v>-1038.75</v>
      </c>
      <c r="AV1067" s="58"/>
    </row>
    <row r="1068" spans="1:48" ht="13.5" customHeight="1">
      <c r="A1068" s="82">
        <v>1066</v>
      </c>
      <c r="B1068" s="224">
        <v>1609</v>
      </c>
      <c r="C1068" s="224" t="s">
        <v>39</v>
      </c>
      <c r="D1068" s="221">
        <v>401.81099999999998</v>
      </c>
      <c r="E1068" s="167"/>
      <c r="F1068" s="167"/>
      <c r="G1068" s="167"/>
      <c r="H1068" s="166"/>
      <c r="I1068" s="166">
        <v>1400</v>
      </c>
      <c r="J1068" s="250">
        <v>807.36900000000003</v>
      </c>
      <c r="K1068" s="168"/>
      <c r="L1068" s="168"/>
      <c r="M1068" s="168"/>
      <c r="N1068" s="168"/>
      <c r="O1068" s="168"/>
      <c r="P1068" s="168"/>
      <c r="Q1068" s="168"/>
      <c r="R1068" s="168"/>
      <c r="S1068" s="168"/>
      <c r="T1068" s="168"/>
      <c r="U1068" s="168"/>
      <c r="V1068" s="168"/>
      <c r="W1068" s="168"/>
      <c r="X1068" s="168"/>
      <c r="Y1068" s="168"/>
      <c r="Z1068" s="168"/>
      <c r="AA1068" s="168"/>
      <c r="AB1068" s="168"/>
      <c r="AC1068" s="168"/>
      <c r="AD1068" s="168"/>
      <c r="AE1068" s="168"/>
      <c r="AF1068" s="168"/>
      <c r="AG1068" s="168"/>
      <c r="AH1068" s="168"/>
      <c r="AI1068" s="168"/>
      <c r="AJ1068" s="168"/>
      <c r="AK1068" s="168"/>
      <c r="AL1068" s="168"/>
      <c r="AM1068" s="168"/>
      <c r="AN1068" s="168"/>
      <c r="AO1068" s="168"/>
      <c r="AP1068" s="168"/>
      <c r="AQ1068" s="168"/>
      <c r="AR1068" s="168"/>
      <c r="AS1068" s="168"/>
      <c r="AT1068" s="168">
        <v>190.82</v>
      </c>
      <c r="AU1068" s="58">
        <f t="shared" si="16"/>
        <v>401.81099999999998</v>
      </c>
      <c r="AV1068" s="58"/>
    </row>
    <row r="1069" spans="1:48" ht="13.5" customHeight="1">
      <c r="A1069" s="84">
        <v>1067</v>
      </c>
      <c r="B1069" s="55">
        <v>1628</v>
      </c>
      <c r="C1069" s="55" t="s">
        <v>39</v>
      </c>
      <c r="D1069" s="175">
        <v>247.29999999999995</v>
      </c>
      <c r="H1069" s="56"/>
      <c r="I1069" s="56">
        <v>1400</v>
      </c>
      <c r="J1069" s="148"/>
      <c r="K1069" s="57"/>
      <c r="L1069" s="57"/>
      <c r="M1069" s="57"/>
      <c r="N1069" s="57"/>
      <c r="O1069" s="57"/>
      <c r="P1069" s="57"/>
      <c r="Q1069" s="57"/>
      <c r="R1069" s="57"/>
      <c r="S1069" s="57"/>
      <c r="T1069" s="57"/>
      <c r="U1069" s="57"/>
      <c r="V1069" s="57"/>
      <c r="W1069" s="57"/>
      <c r="X1069" s="57"/>
      <c r="Y1069" s="57"/>
      <c r="Z1069" s="57"/>
      <c r="AA1069" s="57"/>
      <c r="AB1069" s="57"/>
      <c r="AC1069" s="57"/>
      <c r="AD1069" s="57">
        <v>1117.7</v>
      </c>
      <c r="AE1069" s="57"/>
      <c r="AF1069" s="57"/>
      <c r="AG1069" s="57"/>
      <c r="AH1069" s="57"/>
      <c r="AI1069" s="57"/>
      <c r="AJ1069" s="57"/>
      <c r="AK1069" s="57"/>
      <c r="AL1069" s="57"/>
      <c r="AM1069" s="57">
        <v>35</v>
      </c>
      <c r="AN1069" s="57"/>
      <c r="AO1069" s="57"/>
      <c r="AP1069" s="57"/>
      <c r="AQ1069" s="57"/>
      <c r="AR1069" s="57"/>
      <c r="AS1069" s="57"/>
      <c r="AT1069" s="57"/>
      <c r="AU1069" s="58">
        <f t="shared" si="16"/>
        <v>247.29999999999995</v>
      </c>
      <c r="AV1069" s="58"/>
    </row>
    <row r="1070" spans="1:48" ht="13.5" customHeight="1">
      <c r="A1070" s="82">
        <v>1068</v>
      </c>
      <c r="B1070" s="55">
        <v>1634</v>
      </c>
      <c r="C1070" s="55" t="s">
        <v>39</v>
      </c>
      <c r="D1070" s="175">
        <v>1165.5</v>
      </c>
      <c r="H1070" s="56"/>
      <c r="I1070" s="56">
        <v>1400</v>
      </c>
      <c r="J1070" s="148"/>
      <c r="K1070" s="57"/>
      <c r="L1070" s="57"/>
      <c r="M1070" s="57"/>
      <c r="N1070" s="57"/>
      <c r="O1070" s="57"/>
      <c r="P1070" s="57"/>
      <c r="Q1070" s="57"/>
      <c r="R1070" s="57"/>
      <c r="S1070" s="57"/>
      <c r="T1070" s="57"/>
      <c r="U1070" s="57"/>
      <c r="V1070" s="57"/>
      <c r="W1070" s="57"/>
      <c r="X1070" s="57"/>
      <c r="Y1070" s="57"/>
      <c r="Z1070" s="57">
        <v>234.5</v>
      </c>
      <c r="AA1070" s="57"/>
      <c r="AB1070" s="57"/>
      <c r="AC1070" s="57"/>
      <c r="AD1070" s="57"/>
      <c r="AE1070" s="57"/>
      <c r="AF1070" s="57"/>
      <c r="AG1070" s="57"/>
      <c r="AH1070" s="57"/>
      <c r="AI1070" s="57"/>
      <c r="AJ1070" s="57"/>
      <c r="AK1070" s="57"/>
      <c r="AL1070" s="57"/>
      <c r="AM1070" s="57"/>
      <c r="AN1070" s="57"/>
      <c r="AO1070" s="57"/>
      <c r="AP1070" s="57"/>
      <c r="AQ1070" s="57"/>
      <c r="AR1070" s="57"/>
      <c r="AS1070" s="57"/>
      <c r="AT1070" s="57"/>
      <c r="AU1070" s="58">
        <f t="shared" si="16"/>
        <v>1165.5</v>
      </c>
      <c r="AV1070" s="58"/>
    </row>
    <row r="1071" spans="1:48" ht="13.5" customHeight="1">
      <c r="A1071" s="84">
        <v>1069</v>
      </c>
      <c r="B1071" s="55">
        <v>1635</v>
      </c>
      <c r="C1071" s="55" t="s">
        <v>39</v>
      </c>
      <c r="D1071" s="175">
        <v>252.29999999999995</v>
      </c>
      <c r="H1071" s="56"/>
      <c r="I1071" s="56">
        <v>1400</v>
      </c>
      <c r="J1071" s="148">
        <v>0</v>
      </c>
      <c r="K1071" s="57"/>
      <c r="L1071" s="57"/>
      <c r="M1071" s="57"/>
      <c r="N1071" s="57"/>
      <c r="O1071" s="57"/>
      <c r="P1071" s="57"/>
      <c r="Q1071" s="57"/>
      <c r="R1071" s="57"/>
      <c r="S1071" s="57"/>
      <c r="T1071" s="57"/>
      <c r="U1071" s="57"/>
      <c r="V1071" s="57"/>
      <c r="W1071" s="57"/>
      <c r="X1071" s="57"/>
      <c r="Y1071" s="57"/>
      <c r="Z1071" s="57"/>
      <c r="AA1071" s="57"/>
      <c r="AB1071" s="57"/>
      <c r="AC1071" s="57"/>
      <c r="AD1071" s="57">
        <v>1117.7</v>
      </c>
      <c r="AE1071" s="57"/>
      <c r="AF1071" s="57"/>
      <c r="AG1071" s="57"/>
      <c r="AH1071" s="57"/>
      <c r="AI1071" s="57"/>
      <c r="AJ1071" s="57"/>
      <c r="AK1071" s="57"/>
      <c r="AL1071" s="57"/>
      <c r="AM1071" s="57"/>
      <c r="AN1071" s="57"/>
      <c r="AO1071" s="57"/>
      <c r="AP1071" s="57"/>
      <c r="AQ1071" s="57">
        <v>30</v>
      </c>
      <c r="AR1071" s="57"/>
      <c r="AS1071" s="57"/>
      <c r="AT1071" s="57"/>
      <c r="AU1071" s="58">
        <f t="shared" si="16"/>
        <v>252.29999999999995</v>
      </c>
      <c r="AV1071" s="58"/>
    </row>
    <row r="1072" spans="1:48" ht="13.5" customHeight="1">
      <c r="A1072" s="84">
        <v>1070</v>
      </c>
      <c r="B1072" s="55">
        <v>1637</v>
      </c>
      <c r="C1072" s="55" t="s">
        <v>39</v>
      </c>
      <c r="D1072" s="175">
        <v>1105</v>
      </c>
      <c r="H1072" s="56"/>
      <c r="I1072" s="56">
        <v>1400</v>
      </c>
      <c r="J1072" s="148"/>
      <c r="K1072" s="57"/>
      <c r="L1072" s="57"/>
      <c r="M1072" s="57"/>
      <c r="N1072" s="57"/>
      <c r="O1072" s="57"/>
      <c r="P1072" s="57">
        <v>75</v>
      </c>
      <c r="Q1072" s="57"/>
      <c r="R1072" s="57"/>
      <c r="S1072" s="57"/>
      <c r="T1072" s="57"/>
      <c r="U1072" s="57"/>
      <c r="V1072" s="57"/>
      <c r="W1072" s="57"/>
      <c r="X1072" s="57"/>
      <c r="Y1072" s="57"/>
      <c r="Z1072" s="57">
        <v>20</v>
      </c>
      <c r="AA1072" s="57"/>
      <c r="AB1072" s="57"/>
      <c r="AC1072" s="57"/>
      <c r="AD1072" s="57"/>
      <c r="AE1072" s="57"/>
      <c r="AF1072" s="57"/>
      <c r="AG1072" s="57"/>
      <c r="AH1072" s="57"/>
      <c r="AI1072" s="57"/>
      <c r="AJ1072" s="57">
        <v>140</v>
      </c>
      <c r="AK1072" s="57"/>
      <c r="AL1072" s="57"/>
      <c r="AM1072" s="57">
        <v>60</v>
      </c>
      <c r="AN1072" s="57"/>
      <c r="AO1072" s="57"/>
      <c r="AP1072" s="57"/>
      <c r="AQ1072" s="57"/>
      <c r="AR1072" s="57"/>
      <c r="AS1072" s="57"/>
      <c r="AT1072" s="57"/>
      <c r="AU1072" s="58">
        <f t="shared" si="16"/>
        <v>1105</v>
      </c>
      <c r="AV1072" s="58"/>
    </row>
    <row r="1073" spans="1:48" ht="13.5" customHeight="1">
      <c r="A1073" s="82">
        <v>1071</v>
      </c>
      <c r="B1073" s="55">
        <v>1643</v>
      </c>
      <c r="C1073" s="55" t="s">
        <v>39</v>
      </c>
      <c r="D1073" s="175">
        <v>-173</v>
      </c>
      <c r="H1073" s="56"/>
      <c r="I1073" s="56">
        <v>200</v>
      </c>
      <c r="J1073" s="148"/>
      <c r="K1073" s="57"/>
      <c r="L1073" s="57"/>
      <c r="M1073" s="57"/>
      <c r="N1073" s="57"/>
      <c r="O1073" s="57"/>
      <c r="P1073" s="57"/>
      <c r="Q1073" s="57"/>
      <c r="R1073" s="57">
        <v>75</v>
      </c>
      <c r="S1073" s="57"/>
      <c r="T1073" s="57"/>
      <c r="U1073" s="57"/>
      <c r="V1073" s="57"/>
      <c r="W1073" s="57"/>
      <c r="X1073" s="57"/>
      <c r="Y1073" s="57"/>
      <c r="Z1073" s="57"/>
      <c r="AA1073" s="57"/>
      <c r="AB1073" s="57"/>
      <c r="AC1073" s="57">
        <v>75</v>
      </c>
      <c r="AD1073" s="57">
        <v>223</v>
      </c>
      <c r="AE1073" s="57"/>
      <c r="AF1073" s="57"/>
      <c r="AG1073" s="57"/>
      <c r="AH1073" s="57"/>
      <c r="AI1073" s="57"/>
      <c r="AJ1073" s="57"/>
      <c r="AK1073" s="57"/>
      <c r="AL1073" s="57"/>
      <c r="AM1073" s="57"/>
      <c r="AN1073" s="57"/>
      <c r="AO1073" s="57"/>
      <c r="AP1073" s="57"/>
      <c r="AQ1073" s="57"/>
      <c r="AR1073" s="57"/>
      <c r="AS1073" s="57"/>
      <c r="AT1073" s="57"/>
      <c r="AU1073" s="58">
        <f t="shared" si="16"/>
        <v>-173</v>
      </c>
      <c r="AV1073" s="58"/>
    </row>
    <row r="1074" spans="1:48" ht="13.5" customHeight="1">
      <c r="A1074" s="84">
        <v>1072</v>
      </c>
      <c r="B1074" s="55">
        <v>1644</v>
      </c>
      <c r="C1074" s="55" t="s">
        <v>39</v>
      </c>
      <c r="D1074" s="175">
        <v>82.299999999999955</v>
      </c>
      <c r="H1074" s="56"/>
      <c r="I1074" s="56">
        <v>1400</v>
      </c>
      <c r="J1074" s="148"/>
      <c r="K1074" s="57"/>
      <c r="L1074" s="57"/>
      <c r="M1074" s="57"/>
      <c r="N1074" s="57"/>
      <c r="O1074" s="57"/>
      <c r="P1074" s="57"/>
      <c r="Q1074" s="57"/>
      <c r="R1074" s="57"/>
      <c r="S1074" s="57"/>
      <c r="T1074" s="57"/>
      <c r="U1074" s="57"/>
      <c r="V1074" s="57"/>
      <c r="W1074" s="57"/>
      <c r="X1074" s="57"/>
      <c r="Y1074" s="57"/>
      <c r="Z1074" s="57"/>
      <c r="AA1074" s="57"/>
      <c r="AB1074" s="57"/>
      <c r="AC1074" s="57"/>
      <c r="AD1074" s="57">
        <v>1117.7</v>
      </c>
      <c r="AE1074" s="57"/>
      <c r="AF1074" s="57"/>
      <c r="AG1074" s="57"/>
      <c r="AH1074" s="57"/>
      <c r="AI1074" s="57"/>
      <c r="AJ1074" s="57"/>
      <c r="AK1074" s="57"/>
      <c r="AL1074" s="57"/>
      <c r="AM1074" s="57"/>
      <c r="AN1074" s="57">
        <v>200</v>
      </c>
      <c r="AO1074" s="57"/>
      <c r="AP1074" s="57"/>
      <c r="AQ1074" s="57"/>
      <c r="AR1074" s="57"/>
      <c r="AS1074" s="57"/>
      <c r="AT1074" s="57"/>
      <c r="AU1074" s="58">
        <f t="shared" si="16"/>
        <v>82.299999999999955</v>
      </c>
      <c r="AV1074" s="58"/>
    </row>
    <row r="1075" spans="1:48" ht="13.5" customHeight="1">
      <c r="A1075" s="82">
        <v>1073</v>
      </c>
      <c r="B1075" s="55">
        <v>1645</v>
      </c>
      <c r="C1075" s="55" t="s">
        <v>39</v>
      </c>
      <c r="D1075" s="176">
        <v>-59.6</v>
      </c>
      <c r="H1075" s="116"/>
      <c r="I1075" s="116">
        <v>50.4</v>
      </c>
      <c r="J1075" s="149"/>
      <c r="K1075" s="119"/>
      <c r="L1075" s="119"/>
      <c r="M1075" s="119"/>
      <c r="N1075" s="119"/>
      <c r="O1075" s="119"/>
      <c r="P1075" s="119"/>
      <c r="Q1075" s="119"/>
      <c r="R1075" s="119"/>
      <c r="S1075" s="119"/>
      <c r="T1075" s="119"/>
      <c r="U1075" s="119"/>
      <c r="V1075" s="119"/>
      <c r="W1075" s="119"/>
      <c r="X1075" s="119"/>
      <c r="Y1075" s="119"/>
      <c r="Z1075" s="119"/>
      <c r="AA1075" s="119"/>
      <c r="AB1075" s="119"/>
      <c r="AC1075" s="119"/>
      <c r="AD1075" s="119"/>
      <c r="AE1075" s="119"/>
      <c r="AF1075" s="119"/>
      <c r="AG1075" s="119"/>
      <c r="AH1075" s="119"/>
      <c r="AI1075" s="119">
        <v>60</v>
      </c>
      <c r="AJ1075" s="119"/>
      <c r="AK1075" s="119"/>
      <c r="AL1075" s="165"/>
      <c r="AM1075" s="57">
        <v>50</v>
      </c>
      <c r="AN1075" s="57"/>
      <c r="AO1075" s="57"/>
      <c r="AP1075" s="57"/>
      <c r="AQ1075" s="57"/>
      <c r="AR1075" s="57"/>
      <c r="AS1075" s="57"/>
      <c r="AT1075" s="57"/>
      <c r="AU1075" s="58">
        <f t="shared" si="16"/>
        <v>-59.6</v>
      </c>
      <c r="AV1075" s="58"/>
    </row>
    <row r="1076" spans="1:48" ht="13.5" customHeight="1">
      <c r="A1076" s="84">
        <v>1074</v>
      </c>
      <c r="B1076" s="55">
        <v>1646</v>
      </c>
      <c r="C1076" s="55" t="s">
        <v>39</v>
      </c>
      <c r="D1076" s="176">
        <v>337</v>
      </c>
      <c r="H1076" s="116"/>
      <c r="I1076" s="116">
        <v>1400</v>
      </c>
      <c r="J1076" s="149"/>
      <c r="K1076" s="119"/>
      <c r="L1076" s="119"/>
      <c r="M1076" s="119"/>
      <c r="N1076" s="119"/>
      <c r="O1076" s="119"/>
      <c r="P1076" s="119"/>
      <c r="Q1076" s="119"/>
      <c r="R1076" s="119"/>
      <c r="S1076" s="119"/>
      <c r="T1076" s="119"/>
      <c r="U1076" s="119"/>
      <c r="V1076" s="119"/>
      <c r="W1076" s="119"/>
      <c r="X1076" s="119"/>
      <c r="Y1076" s="119">
        <v>350</v>
      </c>
      <c r="Z1076" s="119">
        <v>350</v>
      </c>
      <c r="AA1076" s="119"/>
      <c r="AB1076" s="119"/>
      <c r="AC1076" s="119"/>
      <c r="AD1076" s="119"/>
      <c r="AE1076" s="119">
        <v>40</v>
      </c>
      <c r="AF1076" s="119"/>
      <c r="AG1076" s="119"/>
      <c r="AH1076" s="119">
        <v>298</v>
      </c>
      <c r="AI1076" s="119"/>
      <c r="AJ1076" s="119"/>
      <c r="AK1076" s="119"/>
      <c r="AL1076" s="165"/>
      <c r="AM1076" s="57">
        <v>25</v>
      </c>
      <c r="AN1076" s="57"/>
      <c r="AO1076" s="57"/>
      <c r="AP1076" s="57"/>
      <c r="AQ1076" s="57"/>
      <c r="AR1076" s="57"/>
      <c r="AS1076" s="57"/>
      <c r="AT1076" s="57"/>
      <c r="AU1076" s="58">
        <f t="shared" si="16"/>
        <v>337</v>
      </c>
      <c r="AV1076" s="58"/>
    </row>
    <row r="1077" spans="1:48" ht="13.5" customHeight="1">
      <c r="A1077" s="84">
        <v>1075</v>
      </c>
      <c r="B1077" s="55">
        <v>1651</v>
      </c>
      <c r="C1077" s="55" t="s">
        <v>39</v>
      </c>
      <c r="D1077" s="176">
        <v>167</v>
      </c>
      <c r="H1077" s="116"/>
      <c r="I1077" s="116">
        <v>1400</v>
      </c>
      <c r="J1077" s="149"/>
      <c r="K1077" s="119"/>
      <c r="L1077" s="119"/>
      <c r="M1077" s="119"/>
      <c r="N1077" s="119"/>
      <c r="O1077" s="119"/>
      <c r="P1077" s="119"/>
      <c r="Q1077" s="119">
        <v>99</v>
      </c>
      <c r="R1077" s="119"/>
      <c r="S1077" s="119"/>
      <c r="T1077" s="119"/>
      <c r="U1077" s="119">
        <v>267</v>
      </c>
      <c r="V1077" s="119"/>
      <c r="W1077" s="119">
        <v>150</v>
      </c>
      <c r="X1077" s="119"/>
      <c r="Y1077" s="119"/>
      <c r="Z1077" s="119">
        <v>150</v>
      </c>
      <c r="AA1077" s="119"/>
      <c r="AB1077" s="119">
        <v>267</v>
      </c>
      <c r="AC1077" s="119"/>
      <c r="AD1077" s="119"/>
      <c r="AE1077" s="119"/>
      <c r="AF1077" s="119"/>
      <c r="AG1077" s="119"/>
      <c r="AH1077" s="119"/>
      <c r="AI1077" s="119"/>
      <c r="AJ1077" s="119"/>
      <c r="AK1077" s="119"/>
      <c r="AL1077" s="165">
        <v>150</v>
      </c>
      <c r="AM1077" s="57"/>
      <c r="AN1077" s="57"/>
      <c r="AO1077" s="57">
        <v>150</v>
      </c>
      <c r="AP1077" s="57"/>
      <c r="AQ1077" s="57"/>
      <c r="AR1077" s="57"/>
      <c r="AS1077" s="57"/>
      <c r="AT1077" s="57"/>
      <c r="AU1077" s="58">
        <f t="shared" si="16"/>
        <v>167</v>
      </c>
      <c r="AV1077" s="58"/>
    </row>
    <row r="1078" spans="1:48" ht="13.5" customHeight="1">
      <c r="A1078" s="82">
        <v>1076</v>
      </c>
      <c r="B1078" s="55">
        <v>1653</v>
      </c>
      <c r="C1078" s="55" t="s">
        <v>39</v>
      </c>
      <c r="D1078" s="176">
        <v>1370</v>
      </c>
      <c r="H1078" s="116"/>
      <c r="I1078" s="116">
        <v>1400</v>
      </c>
      <c r="J1078" s="149"/>
      <c r="K1078" s="119"/>
      <c r="L1078" s="119"/>
      <c r="M1078" s="119"/>
      <c r="N1078" s="119"/>
      <c r="O1078" s="119"/>
      <c r="P1078" s="119"/>
      <c r="Q1078" s="119"/>
      <c r="R1078" s="119"/>
      <c r="S1078" s="119"/>
      <c r="T1078" s="119"/>
      <c r="U1078" s="119"/>
      <c r="V1078" s="119"/>
      <c r="W1078" s="119"/>
      <c r="X1078" s="119"/>
      <c r="Y1078" s="119"/>
      <c r="Z1078" s="119"/>
      <c r="AA1078" s="119"/>
      <c r="AB1078" s="119"/>
      <c r="AC1078" s="119"/>
      <c r="AD1078" s="119"/>
      <c r="AE1078" s="119"/>
      <c r="AF1078" s="119"/>
      <c r="AG1078" s="119"/>
      <c r="AH1078" s="119"/>
      <c r="AI1078" s="119"/>
      <c r="AJ1078" s="119"/>
      <c r="AK1078" s="119"/>
      <c r="AL1078" s="165"/>
      <c r="AM1078" s="57"/>
      <c r="AN1078" s="57"/>
      <c r="AO1078" s="57"/>
      <c r="AP1078" s="57"/>
      <c r="AQ1078" s="57"/>
      <c r="AR1078" s="57">
        <v>30</v>
      </c>
      <c r="AS1078" s="57"/>
      <c r="AT1078" s="57"/>
      <c r="AU1078" s="58">
        <f t="shared" si="16"/>
        <v>1370</v>
      </c>
      <c r="AV1078" s="58"/>
    </row>
    <row r="1079" spans="1:48" ht="13.5" customHeight="1">
      <c r="A1079" s="84">
        <v>1077</v>
      </c>
      <c r="B1079" s="55">
        <v>1665</v>
      </c>
      <c r="C1079" s="55" t="s">
        <v>39</v>
      </c>
      <c r="D1079" s="176">
        <v>240</v>
      </c>
      <c r="H1079" s="116"/>
      <c r="I1079" s="116">
        <v>350</v>
      </c>
      <c r="J1079" s="149"/>
      <c r="K1079" s="119"/>
      <c r="L1079" s="119"/>
      <c r="M1079" s="119"/>
      <c r="N1079" s="119"/>
      <c r="O1079" s="119"/>
      <c r="P1079" s="119"/>
      <c r="Q1079" s="119"/>
      <c r="R1079" s="119"/>
      <c r="S1079" s="119"/>
      <c r="T1079" s="119"/>
      <c r="U1079" s="119"/>
      <c r="V1079" s="119"/>
      <c r="W1079" s="119"/>
      <c r="X1079" s="119"/>
      <c r="Y1079" s="119"/>
      <c r="Z1079" s="119"/>
      <c r="AA1079" s="119"/>
      <c r="AB1079" s="119"/>
      <c r="AC1079" s="119"/>
      <c r="AD1079" s="119"/>
      <c r="AE1079" s="119"/>
      <c r="AF1079" s="119"/>
      <c r="AG1079" s="119"/>
      <c r="AH1079" s="119">
        <v>110</v>
      </c>
      <c r="AI1079" s="119"/>
      <c r="AJ1079" s="119"/>
      <c r="AK1079" s="119"/>
      <c r="AL1079" s="165"/>
      <c r="AM1079" s="57"/>
      <c r="AN1079" s="57"/>
      <c r="AO1079" s="57"/>
      <c r="AP1079" s="57"/>
      <c r="AQ1079" s="57"/>
      <c r="AR1079" s="57"/>
      <c r="AS1079" s="57"/>
      <c r="AT1079" s="57"/>
      <c r="AU1079" s="58">
        <f t="shared" si="16"/>
        <v>240</v>
      </c>
      <c r="AV1079" s="58"/>
    </row>
    <row r="1080" spans="1:48" ht="13.5" customHeight="1">
      <c r="A1080" s="82">
        <v>1078</v>
      </c>
      <c r="B1080" s="85">
        <v>1666</v>
      </c>
      <c r="C1080" s="85" t="s">
        <v>39</v>
      </c>
      <c r="D1080" s="176">
        <v>128</v>
      </c>
      <c r="H1080" s="116"/>
      <c r="I1080" s="116">
        <v>128</v>
      </c>
      <c r="J1080" s="149"/>
      <c r="K1080" s="119"/>
      <c r="L1080" s="119"/>
      <c r="M1080" s="119"/>
      <c r="N1080" s="119"/>
      <c r="O1080" s="119"/>
      <c r="P1080" s="119"/>
      <c r="Q1080" s="119"/>
      <c r="R1080" s="119"/>
      <c r="S1080" s="119"/>
      <c r="T1080" s="119"/>
      <c r="U1080" s="119"/>
      <c r="V1080" s="119"/>
      <c r="W1080" s="119"/>
      <c r="X1080" s="119"/>
      <c r="Y1080" s="119"/>
      <c r="Z1080" s="119"/>
      <c r="AA1080" s="119"/>
      <c r="AB1080" s="119"/>
      <c r="AC1080" s="119"/>
      <c r="AD1080" s="119"/>
      <c r="AE1080" s="119"/>
      <c r="AF1080" s="119"/>
      <c r="AG1080" s="119"/>
      <c r="AH1080" s="119"/>
      <c r="AI1080" s="119"/>
      <c r="AJ1080" s="119"/>
      <c r="AK1080" s="119"/>
      <c r="AL1080" s="165"/>
      <c r="AM1080" s="57"/>
      <c r="AN1080" s="57"/>
      <c r="AO1080" s="57"/>
      <c r="AP1080" s="57"/>
      <c r="AQ1080" s="57"/>
      <c r="AR1080" s="57"/>
      <c r="AS1080" s="57"/>
      <c r="AT1080" s="57"/>
      <c r="AU1080" s="58">
        <f t="shared" si="16"/>
        <v>128</v>
      </c>
      <c r="AV1080" s="58"/>
    </row>
    <row r="1081" spans="1:48" ht="13.5" customHeight="1">
      <c r="A1081" s="84">
        <v>1079</v>
      </c>
      <c r="B1081" s="85">
        <v>1670</v>
      </c>
      <c r="C1081" s="85" t="s">
        <v>39</v>
      </c>
      <c r="D1081" s="176">
        <v>802</v>
      </c>
      <c r="H1081" s="116"/>
      <c r="I1081" s="116">
        <v>882</v>
      </c>
      <c r="J1081" s="149"/>
      <c r="K1081" s="119"/>
      <c r="L1081" s="119"/>
      <c r="M1081" s="119"/>
      <c r="N1081" s="119"/>
      <c r="O1081" s="119"/>
      <c r="P1081" s="119"/>
      <c r="Q1081" s="119"/>
      <c r="R1081" s="119"/>
      <c r="S1081" s="119"/>
      <c r="T1081" s="119">
        <v>80</v>
      </c>
      <c r="U1081" s="119"/>
      <c r="V1081" s="119"/>
      <c r="W1081" s="119"/>
      <c r="X1081" s="119"/>
      <c r="Y1081" s="119"/>
      <c r="Z1081" s="119"/>
      <c r="AA1081" s="119"/>
      <c r="AB1081" s="119"/>
      <c r="AC1081" s="119"/>
      <c r="AD1081" s="119"/>
      <c r="AE1081" s="119"/>
      <c r="AF1081" s="119"/>
      <c r="AG1081" s="119"/>
      <c r="AH1081" s="119"/>
      <c r="AI1081" s="119"/>
      <c r="AJ1081" s="119"/>
      <c r="AK1081" s="119"/>
      <c r="AL1081" s="165"/>
      <c r="AM1081" s="57"/>
      <c r="AN1081" s="57"/>
      <c r="AO1081" s="57"/>
      <c r="AP1081" s="57"/>
      <c r="AQ1081" s="57"/>
      <c r="AR1081" s="57"/>
      <c r="AS1081" s="57"/>
      <c r="AT1081" s="57"/>
      <c r="AU1081" s="58">
        <f t="shared" si="16"/>
        <v>802</v>
      </c>
      <c r="AV1081" s="58"/>
    </row>
    <row r="1082" spans="1:48" ht="13.5" customHeight="1">
      <c r="A1082" s="84">
        <v>1080</v>
      </c>
      <c r="B1082" s="85">
        <v>1678</v>
      </c>
      <c r="C1082" s="85" t="s">
        <v>39</v>
      </c>
      <c r="D1082" s="176">
        <v>182</v>
      </c>
      <c r="H1082" s="116"/>
      <c r="I1082" s="116">
        <v>882</v>
      </c>
      <c r="J1082" s="149">
        <v>0</v>
      </c>
      <c r="K1082" s="119"/>
      <c r="L1082" s="119"/>
      <c r="M1082" s="119"/>
      <c r="N1082" s="119"/>
      <c r="O1082" s="119"/>
      <c r="P1082" s="119"/>
      <c r="Q1082" s="119"/>
      <c r="R1082" s="119"/>
      <c r="S1082" s="119"/>
      <c r="T1082" s="119"/>
      <c r="U1082" s="119"/>
      <c r="V1082" s="119"/>
      <c r="W1082" s="119"/>
      <c r="X1082" s="119"/>
      <c r="Y1082" s="119"/>
      <c r="Z1082" s="119"/>
      <c r="AA1082" s="119"/>
      <c r="AB1082" s="119">
        <v>30</v>
      </c>
      <c r="AC1082" s="119"/>
      <c r="AD1082" s="119"/>
      <c r="AE1082" s="119"/>
      <c r="AF1082" s="119"/>
      <c r="AG1082" s="119">
        <v>670</v>
      </c>
      <c r="AH1082" s="119"/>
      <c r="AI1082" s="119"/>
      <c r="AJ1082" s="119"/>
      <c r="AK1082" s="119"/>
      <c r="AL1082" s="165"/>
      <c r="AM1082" s="57"/>
      <c r="AN1082" s="57"/>
      <c r="AO1082" s="57"/>
      <c r="AP1082" s="57"/>
      <c r="AQ1082" s="57"/>
      <c r="AR1082" s="57"/>
      <c r="AS1082" s="57"/>
      <c r="AT1082" s="57"/>
      <c r="AU1082" s="58">
        <f t="shared" si="16"/>
        <v>182</v>
      </c>
      <c r="AV1082" s="58"/>
    </row>
    <row r="1083" spans="1:48" ht="13.5" customHeight="1">
      <c r="A1083" s="82">
        <v>1081</v>
      </c>
      <c r="B1083" s="85">
        <v>1683</v>
      </c>
      <c r="C1083" s="85" t="s">
        <v>39</v>
      </c>
      <c r="D1083" s="176">
        <v>-1265.4999999999998</v>
      </c>
      <c r="H1083" s="116"/>
      <c r="I1083" s="116">
        <v>1400</v>
      </c>
      <c r="J1083" s="149"/>
      <c r="K1083" s="119"/>
      <c r="L1083" s="119"/>
      <c r="M1083" s="119"/>
      <c r="N1083" s="119"/>
      <c r="O1083" s="119"/>
      <c r="P1083" s="119">
        <v>528.5</v>
      </c>
      <c r="Q1083" s="119">
        <v>19.3</v>
      </c>
      <c r="R1083" s="119"/>
      <c r="S1083" s="119"/>
      <c r="T1083" s="119"/>
      <c r="U1083" s="119"/>
      <c r="V1083" s="119"/>
      <c r="W1083" s="119"/>
      <c r="X1083" s="119"/>
      <c r="Y1083" s="119"/>
      <c r="Z1083" s="119"/>
      <c r="AA1083" s="119"/>
      <c r="AB1083" s="119"/>
      <c r="AC1083" s="119"/>
      <c r="AD1083" s="119">
        <f>1000+1117.7</f>
        <v>2117.6999999999998</v>
      </c>
      <c r="AE1083" s="119"/>
      <c r="AF1083" s="119"/>
      <c r="AG1083" s="119"/>
      <c r="AH1083" s="119"/>
      <c r="AI1083" s="119"/>
      <c r="AJ1083" s="119"/>
      <c r="AK1083" s="119"/>
      <c r="AL1083" s="165"/>
      <c r="AM1083" s="57"/>
      <c r="AN1083" s="57"/>
      <c r="AO1083" s="57"/>
      <c r="AP1083" s="57"/>
      <c r="AQ1083" s="57"/>
      <c r="AR1083" s="57"/>
      <c r="AS1083" s="57"/>
      <c r="AT1083" s="57"/>
      <c r="AU1083" s="58">
        <f t="shared" si="16"/>
        <v>-1265.4999999999998</v>
      </c>
      <c r="AV1083" s="58"/>
    </row>
    <row r="1084" spans="1:48" ht="13.5" customHeight="1">
      <c r="A1084" s="84">
        <v>1082</v>
      </c>
      <c r="B1084" s="85">
        <v>1690</v>
      </c>
      <c r="C1084" s="85" t="s">
        <v>39</v>
      </c>
      <c r="D1084" s="176">
        <v>120</v>
      </c>
      <c r="H1084" s="116"/>
      <c r="I1084" s="116">
        <v>560</v>
      </c>
      <c r="J1084" s="149"/>
      <c r="K1084" s="119"/>
      <c r="L1084" s="119"/>
      <c r="M1084" s="119"/>
      <c r="N1084" s="119"/>
      <c r="O1084" s="119"/>
      <c r="P1084" s="119"/>
      <c r="Q1084" s="119"/>
      <c r="R1084" s="119"/>
      <c r="S1084" s="119"/>
      <c r="T1084" s="119"/>
      <c r="U1084" s="119"/>
      <c r="V1084" s="119"/>
      <c r="W1084" s="119"/>
      <c r="X1084" s="119">
        <v>440</v>
      </c>
      <c r="Y1084" s="119"/>
      <c r="Z1084" s="119"/>
      <c r="AA1084" s="119"/>
      <c r="AB1084" s="119"/>
      <c r="AC1084" s="119"/>
      <c r="AD1084" s="119"/>
      <c r="AE1084" s="119"/>
      <c r="AF1084" s="119"/>
      <c r="AG1084" s="119"/>
      <c r="AH1084" s="119"/>
      <c r="AI1084" s="119"/>
      <c r="AJ1084" s="119"/>
      <c r="AK1084" s="119"/>
      <c r="AL1084" s="165"/>
      <c r="AM1084" s="57"/>
      <c r="AN1084" s="57"/>
      <c r="AO1084" s="57"/>
      <c r="AP1084" s="57"/>
      <c r="AQ1084" s="57"/>
      <c r="AR1084" s="57"/>
      <c r="AS1084" s="57"/>
      <c r="AT1084" s="57"/>
      <c r="AU1084" s="58">
        <f t="shared" si="16"/>
        <v>120</v>
      </c>
      <c r="AV1084" s="58"/>
    </row>
    <row r="1085" spans="1:48" ht="13.5" customHeight="1">
      <c r="A1085" s="82">
        <v>1083</v>
      </c>
      <c r="B1085" s="85">
        <v>1692</v>
      </c>
      <c r="C1085" s="85" t="s">
        <v>39</v>
      </c>
      <c r="D1085" s="176">
        <v>44.200000000000045</v>
      </c>
      <c r="H1085" s="116"/>
      <c r="I1085" s="116">
        <v>1400</v>
      </c>
      <c r="J1085" s="149">
        <v>0</v>
      </c>
      <c r="K1085" s="119"/>
      <c r="L1085" s="119"/>
      <c r="M1085" s="119"/>
      <c r="N1085" s="119"/>
      <c r="O1085" s="119"/>
      <c r="P1085" s="119"/>
      <c r="Q1085" s="119"/>
      <c r="R1085" s="119"/>
      <c r="S1085" s="119"/>
      <c r="T1085" s="119"/>
      <c r="U1085" s="119"/>
      <c r="V1085" s="119"/>
      <c r="W1085" s="119"/>
      <c r="X1085" s="119"/>
      <c r="Y1085" s="119"/>
      <c r="Z1085" s="119"/>
      <c r="AA1085" s="119"/>
      <c r="AB1085" s="119"/>
      <c r="AC1085" s="119"/>
      <c r="AD1085" s="119"/>
      <c r="AE1085" s="119"/>
      <c r="AF1085" s="119">
        <v>1260.8</v>
      </c>
      <c r="AG1085" s="119"/>
      <c r="AH1085" s="119"/>
      <c r="AI1085" s="119"/>
      <c r="AJ1085" s="119"/>
      <c r="AK1085" s="119"/>
      <c r="AL1085" s="165"/>
      <c r="AM1085" s="57"/>
      <c r="AN1085" s="57">
        <v>65</v>
      </c>
      <c r="AO1085" s="57"/>
      <c r="AP1085" s="57">
        <v>30</v>
      </c>
      <c r="AQ1085" s="57"/>
      <c r="AR1085" s="57"/>
      <c r="AS1085" s="57"/>
      <c r="AT1085" s="57"/>
      <c r="AU1085" s="58">
        <f t="shared" si="16"/>
        <v>44.200000000000045</v>
      </c>
      <c r="AV1085" s="58"/>
    </row>
    <row r="1086" spans="1:48" ht="13.5" customHeight="1">
      <c r="A1086" s="84">
        <v>1084</v>
      </c>
      <c r="B1086" s="85">
        <v>1702</v>
      </c>
      <c r="C1086" s="85" t="s">
        <v>39</v>
      </c>
      <c r="D1086" s="176">
        <v>945</v>
      </c>
      <c r="F1086" s="45">
        <v>1400</v>
      </c>
      <c r="G1086" s="117">
        <v>1400</v>
      </c>
      <c r="H1086" s="116"/>
      <c r="I1086" s="116">
        <v>1400</v>
      </c>
      <c r="J1086" s="149">
        <v>0</v>
      </c>
      <c r="K1086" s="119"/>
      <c r="L1086" s="119"/>
      <c r="M1086" s="119"/>
      <c r="N1086" s="119"/>
      <c r="O1086" s="119"/>
      <c r="P1086" s="119"/>
      <c r="Q1086" s="119"/>
      <c r="R1086" s="119"/>
      <c r="S1086" s="119"/>
      <c r="T1086" s="119"/>
      <c r="U1086" s="119"/>
      <c r="V1086" s="119">
        <v>320</v>
      </c>
      <c r="W1086" s="119"/>
      <c r="X1086" s="119"/>
      <c r="Y1086" s="119"/>
      <c r="Z1086" s="119"/>
      <c r="AA1086" s="119"/>
      <c r="AB1086" s="119">
        <v>25</v>
      </c>
      <c r="AC1086" s="119"/>
      <c r="AD1086" s="119"/>
      <c r="AE1086" s="119"/>
      <c r="AF1086" s="119"/>
      <c r="AG1086" s="119">
        <v>70</v>
      </c>
      <c r="AH1086" s="119"/>
      <c r="AI1086" s="119"/>
      <c r="AJ1086" s="119"/>
      <c r="AK1086" s="119"/>
      <c r="AL1086" s="165"/>
      <c r="AM1086" s="57">
        <v>40</v>
      </c>
      <c r="AN1086" s="57"/>
      <c r="AO1086" s="57"/>
      <c r="AP1086" s="57"/>
      <c r="AQ1086" s="57"/>
      <c r="AR1086" s="57"/>
      <c r="AS1086" s="57"/>
      <c r="AT1086" s="57"/>
      <c r="AU1086" s="58">
        <f t="shared" si="16"/>
        <v>945</v>
      </c>
      <c r="AV1086" s="58"/>
    </row>
    <row r="1087" spans="1:48" ht="13.5" customHeight="1">
      <c r="A1087" s="84">
        <v>1085</v>
      </c>
      <c r="B1087" s="85">
        <v>1711</v>
      </c>
      <c r="C1087" s="55" t="s">
        <v>39</v>
      </c>
      <c r="D1087" s="176">
        <v>-191.70000000000005</v>
      </c>
      <c r="G1087" s="117"/>
      <c r="H1087" s="116"/>
      <c r="I1087" s="116">
        <v>1400</v>
      </c>
      <c r="J1087" s="149"/>
      <c r="K1087" s="119"/>
      <c r="L1087" s="119"/>
      <c r="M1087" s="119"/>
      <c r="N1087" s="119"/>
      <c r="O1087" s="119"/>
      <c r="P1087" s="119"/>
      <c r="Q1087" s="119"/>
      <c r="R1087" s="119"/>
      <c r="S1087" s="119"/>
      <c r="T1087" s="119"/>
      <c r="U1087" s="119"/>
      <c r="V1087" s="119"/>
      <c r="W1087" s="119"/>
      <c r="X1087" s="119"/>
      <c r="Y1087" s="119"/>
      <c r="Z1087" s="119"/>
      <c r="AA1087" s="119"/>
      <c r="AB1087" s="119">
        <v>1566.7</v>
      </c>
      <c r="AC1087" s="119"/>
      <c r="AD1087" s="119"/>
      <c r="AE1087" s="119"/>
      <c r="AF1087" s="119"/>
      <c r="AG1087" s="119"/>
      <c r="AH1087" s="119"/>
      <c r="AI1087" s="119"/>
      <c r="AJ1087" s="119"/>
      <c r="AK1087" s="119"/>
      <c r="AL1087" s="165">
        <v>25</v>
      </c>
      <c r="AM1087" s="57"/>
      <c r="AN1087" s="57"/>
      <c r="AO1087" s="57"/>
      <c r="AP1087" s="57"/>
      <c r="AQ1087" s="57"/>
      <c r="AR1087" s="57"/>
      <c r="AS1087" s="57"/>
      <c r="AT1087" s="57"/>
      <c r="AU1087" s="58">
        <f t="shared" si="16"/>
        <v>-191.70000000000005</v>
      </c>
      <c r="AV1087" s="58"/>
    </row>
    <row r="1088" spans="1:48" ht="13.5" customHeight="1">
      <c r="A1088" s="82">
        <v>1086</v>
      </c>
      <c r="B1088" s="85">
        <v>1712</v>
      </c>
      <c r="C1088" s="55" t="s">
        <v>39</v>
      </c>
      <c r="D1088" s="176">
        <v>292.98</v>
      </c>
      <c r="F1088" s="45">
        <v>1000</v>
      </c>
      <c r="G1088" s="45">
        <f>1000*1.4</f>
        <v>1400</v>
      </c>
      <c r="H1088" s="116"/>
      <c r="I1088" s="116">
        <v>1400</v>
      </c>
      <c r="J1088" s="149"/>
      <c r="K1088" s="119"/>
      <c r="L1088" s="119"/>
      <c r="M1088" s="119"/>
      <c r="N1088" s="119"/>
      <c r="O1088" s="119"/>
      <c r="P1088" s="119"/>
      <c r="Q1088" s="119">
        <v>548.1</v>
      </c>
      <c r="R1088" s="119"/>
      <c r="S1088" s="119">
        <v>558.91999999999996</v>
      </c>
      <c r="T1088" s="119"/>
      <c r="U1088" s="119"/>
      <c r="V1088" s="119"/>
      <c r="W1088" s="119"/>
      <c r="X1088" s="119"/>
      <c r="Y1088" s="119"/>
      <c r="Z1088" s="119"/>
      <c r="AA1088" s="119"/>
      <c r="AB1088" s="119"/>
      <c r="AC1088" s="119"/>
      <c r="AD1088" s="119"/>
      <c r="AE1088" s="119"/>
      <c r="AF1088" s="119"/>
      <c r="AG1088" s="119"/>
      <c r="AH1088" s="119"/>
      <c r="AI1088" s="119"/>
      <c r="AJ1088" s="119"/>
      <c r="AK1088" s="119"/>
      <c r="AL1088" s="165"/>
      <c r="AM1088" s="57"/>
      <c r="AN1088" s="57"/>
      <c r="AO1088" s="57"/>
      <c r="AP1088" s="57"/>
      <c r="AQ1088" s="57"/>
      <c r="AR1088" s="57"/>
      <c r="AS1088" s="57"/>
      <c r="AT1088" s="57"/>
      <c r="AU1088" s="58">
        <f t="shared" si="16"/>
        <v>292.98</v>
      </c>
      <c r="AV1088" s="58"/>
    </row>
    <row r="1089" spans="1:48" ht="13.5" customHeight="1">
      <c r="A1089" s="84">
        <v>1087</v>
      </c>
      <c r="B1089" s="85">
        <v>1713</v>
      </c>
      <c r="C1089" s="55" t="s">
        <v>39</v>
      </c>
      <c r="D1089" s="176">
        <v>800.40000000000009</v>
      </c>
      <c r="H1089" s="116"/>
      <c r="I1089" s="116">
        <v>1400</v>
      </c>
      <c r="J1089" s="149"/>
      <c r="K1089" s="119"/>
      <c r="L1089" s="119"/>
      <c r="M1089" s="119"/>
      <c r="N1089" s="119"/>
      <c r="O1089" s="119"/>
      <c r="P1089" s="119"/>
      <c r="Q1089" s="119"/>
      <c r="R1089" s="119"/>
      <c r="S1089" s="119"/>
      <c r="T1089" s="119">
        <v>199.6</v>
      </c>
      <c r="U1089" s="119"/>
      <c r="V1089" s="119">
        <v>400</v>
      </c>
      <c r="W1089" s="119"/>
      <c r="X1089" s="119"/>
      <c r="Y1089" s="119"/>
      <c r="Z1089" s="119"/>
      <c r="AA1089" s="119"/>
      <c r="AB1089" s="119"/>
      <c r="AC1089" s="119"/>
      <c r="AD1089" s="119"/>
      <c r="AE1089" s="119"/>
      <c r="AF1089" s="119"/>
      <c r="AG1089" s="119"/>
      <c r="AH1089" s="119"/>
      <c r="AI1089" s="119"/>
      <c r="AJ1089" s="119"/>
      <c r="AK1089" s="119"/>
      <c r="AL1089" s="165"/>
      <c r="AM1089" s="57"/>
      <c r="AN1089" s="57"/>
      <c r="AO1089" s="57"/>
      <c r="AP1089" s="57"/>
      <c r="AQ1089" s="57"/>
      <c r="AR1089" s="57"/>
      <c r="AS1089" s="57"/>
      <c r="AT1089" s="57"/>
      <c r="AU1089" s="58">
        <f t="shared" si="16"/>
        <v>800.40000000000009</v>
      </c>
      <c r="AV1089" s="58"/>
    </row>
    <row r="1090" spans="1:48" ht="13.5" customHeight="1">
      <c r="A1090" s="82">
        <v>1088</v>
      </c>
      <c r="B1090" s="85">
        <v>1717</v>
      </c>
      <c r="C1090" s="55" t="s">
        <v>39</v>
      </c>
      <c r="D1090" s="176">
        <v>-166.69000000000005</v>
      </c>
      <c r="H1090" s="116"/>
      <c r="I1090" s="116">
        <v>1400</v>
      </c>
      <c r="J1090" s="149"/>
      <c r="K1090" s="119"/>
      <c r="L1090" s="119"/>
      <c r="M1090" s="119"/>
      <c r="N1090" s="119"/>
      <c r="O1090" s="119"/>
      <c r="P1090" s="119"/>
      <c r="Q1090" s="119"/>
      <c r="R1090" s="119"/>
      <c r="S1090" s="119"/>
      <c r="T1090" s="119"/>
      <c r="U1090" s="119"/>
      <c r="V1090" s="119"/>
      <c r="W1090" s="119"/>
      <c r="X1090" s="119"/>
      <c r="Y1090" s="119"/>
      <c r="Z1090" s="119"/>
      <c r="AA1090" s="119"/>
      <c r="AB1090" s="119"/>
      <c r="AC1090" s="119"/>
      <c r="AD1090" s="119">
        <v>1566.69</v>
      </c>
      <c r="AE1090" s="119"/>
      <c r="AF1090" s="119"/>
      <c r="AG1090" s="119"/>
      <c r="AH1090" s="119"/>
      <c r="AI1090" s="119"/>
      <c r="AJ1090" s="119"/>
      <c r="AK1090" s="119"/>
      <c r="AL1090" s="165"/>
      <c r="AM1090" s="57"/>
      <c r="AN1090" s="57"/>
      <c r="AO1090" s="57"/>
      <c r="AP1090" s="57"/>
      <c r="AQ1090" s="57"/>
      <c r="AR1090" s="57"/>
      <c r="AS1090" s="57"/>
      <c r="AT1090" s="57"/>
      <c r="AU1090" s="58">
        <f t="shared" si="16"/>
        <v>-166.69000000000005</v>
      </c>
      <c r="AV1090" s="58"/>
    </row>
    <row r="1091" spans="1:48" ht="13.5" customHeight="1">
      <c r="A1091" s="84">
        <v>1089</v>
      </c>
      <c r="B1091" s="85">
        <v>1719</v>
      </c>
      <c r="C1091" s="85" t="s">
        <v>39</v>
      </c>
      <c r="D1091" s="176">
        <v>-597.52</v>
      </c>
      <c r="H1091" s="116"/>
      <c r="I1091" s="116">
        <v>1400</v>
      </c>
      <c r="J1091" s="149"/>
      <c r="K1091" s="119"/>
      <c r="L1091" s="119"/>
      <c r="M1091" s="119"/>
      <c r="N1091" s="119"/>
      <c r="O1091" s="119"/>
      <c r="P1091" s="119">
        <v>764.22</v>
      </c>
      <c r="Q1091" s="119"/>
      <c r="R1091" s="119">
        <v>1033.3</v>
      </c>
      <c r="S1091" s="119"/>
      <c r="T1091" s="119"/>
      <c r="U1091" s="119"/>
      <c r="V1091" s="119">
        <v>200</v>
      </c>
      <c r="W1091" s="119"/>
      <c r="X1091" s="119"/>
      <c r="Y1091" s="119"/>
      <c r="Z1091" s="119"/>
      <c r="AA1091" s="119"/>
      <c r="AB1091" s="119"/>
      <c r="AC1091" s="119"/>
      <c r="AD1091" s="119"/>
      <c r="AE1091" s="119"/>
      <c r="AF1091" s="119"/>
      <c r="AG1091" s="119"/>
      <c r="AH1091" s="119"/>
      <c r="AI1091" s="119"/>
      <c r="AJ1091" s="119"/>
      <c r="AK1091" s="119"/>
      <c r="AL1091" s="165"/>
      <c r="AM1091" s="57"/>
      <c r="AN1091" s="57"/>
      <c r="AO1091" s="57"/>
      <c r="AP1091" s="57"/>
      <c r="AQ1091" s="57"/>
      <c r="AR1091" s="57"/>
      <c r="AS1091" s="57"/>
      <c r="AT1091" s="57"/>
      <c r="AU1091" s="58">
        <f t="shared" si="16"/>
        <v>-597.52</v>
      </c>
      <c r="AV1091" s="58"/>
    </row>
    <row r="1092" spans="1:48" ht="13.5" customHeight="1">
      <c r="A1092" s="84">
        <v>1090</v>
      </c>
      <c r="B1092" s="85">
        <v>1720</v>
      </c>
      <c r="C1092" s="85" t="s">
        <v>39</v>
      </c>
      <c r="D1092" s="176">
        <v>-796.37000000000012</v>
      </c>
      <c r="H1092" s="116"/>
      <c r="I1092" s="116">
        <v>1400</v>
      </c>
      <c r="J1092" s="149"/>
      <c r="K1092" s="119"/>
      <c r="L1092" s="119"/>
      <c r="M1092" s="119"/>
      <c r="N1092" s="119"/>
      <c r="O1092" s="119"/>
      <c r="P1092" s="119">
        <v>764.22</v>
      </c>
      <c r="Q1092" s="119"/>
      <c r="R1092" s="119"/>
      <c r="S1092" s="119"/>
      <c r="T1092" s="119"/>
      <c r="U1092" s="119"/>
      <c r="V1092" s="119"/>
      <c r="W1092" s="119"/>
      <c r="X1092" s="119"/>
      <c r="Y1092" s="119"/>
      <c r="Z1092" s="119"/>
      <c r="AA1092" s="119">
        <v>280</v>
      </c>
      <c r="AB1092" s="119"/>
      <c r="AC1092" s="119"/>
      <c r="AD1092" s="119"/>
      <c r="AE1092" s="119">
        <v>1072.1500000000001</v>
      </c>
      <c r="AF1092" s="119"/>
      <c r="AG1092" s="119"/>
      <c r="AH1092" s="119">
        <v>20</v>
      </c>
      <c r="AI1092" s="119"/>
      <c r="AJ1092" s="119"/>
      <c r="AK1092" s="119"/>
      <c r="AL1092" s="165">
        <v>60</v>
      </c>
      <c r="AM1092" s="57"/>
      <c r="AN1092" s="57"/>
      <c r="AO1092" s="57"/>
      <c r="AP1092" s="57"/>
      <c r="AQ1092" s="57"/>
      <c r="AR1092" s="57"/>
      <c r="AS1092" s="57"/>
      <c r="AT1092" s="57"/>
      <c r="AU1092" s="58">
        <f t="shared" ref="AU1092:AU1155" si="17">I1092-J1092-K1092-L1092-M1092-N1092-O1092-P1092-Q1092-R1092-S1092-T1092-U1092-V1092-W1092-X1092-Y1092-Z1092-AA1092-AB1092-AC1092-AD1092-AE1092-AF1092-AG1092-AH1092-AI1092-AJ1092-AK1092-AL1092-AM1092-AN1092-AO1092-AP1092-AQ1092-AR1092-AS1092-AT1092</f>
        <v>-796.37000000000012</v>
      </c>
      <c r="AV1092" s="58"/>
    </row>
    <row r="1093" spans="1:48" ht="13.5" customHeight="1">
      <c r="A1093" s="82">
        <v>1091</v>
      </c>
      <c r="B1093" s="85">
        <v>1721</v>
      </c>
      <c r="C1093" s="85" t="s">
        <v>39</v>
      </c>
      <c r="D1093" s="176">
        <v>-299.10000000000002</v>
      </c>
      <c r="H1093" s="116"/>
      <c r="I1093" s="116">
        <v>-62.2</v>
      </c>
      <c r="J1093" s="149"/>
      <c r="K1093" s="119"/>
      <c r="L1093" s="119"/>
      <c r="M1093" s="119"/>
      <c r="N1093" s="119"/>
      <c r="O1093" s="119"/>
      <c r="P1093" s="119"/>
      <c r="Q1093" s="119"/>
      <c r="R1093" s="119"/>
      <c r="S1093" s="119"/>
      <c r="T1093" s="119"/>
      <c r="U1093" s="119"/>
      <c r="V1093" s="119"/>
      <c r="W1093" s="119"/>
      <c r="X1093" s="119"/>
      <c r="Y1093" s="119"/>
      <c r="Z1093" s="119">
        <v>236.9</v>
      </c>
      <c r="AA1093" s="119"/>
      <c r="AB1093" s="119"/>
      <c r="AC1093" s="119"/>
      <c r="AD1093" s="119"/>
      <c r="AE1093" s="119"/>
      <c r="AF1093" s="119"/>
      <c r="AG1093" s="119"/>
      <c r="AH1093" s="119"/>
      <c r="AI1093" s="119"/>
      <c r="AJ1093" s="119"/>
      <c r="AK1093" s="119"/>
      <c r="AL1093" s="165"/>
      <c r="AM1093" s="57"/>
      <c r="AN1093" s="57"/>
      <c r="AO1093" s="57"/>
      <c r="AP1093" s="57"/>
      <c r="AQ1093" s="57"/>
      <c r="AR1093" s="57"/>
      <c r="AS1093" s="57"/>
      <c r="AT1093" s="57"/>
      <c r="AU1093" s="58">
        <f t="shared" si="17"/>
        <v>-299.10000000000002</v>
      </c>
      <c r="AV1093" s="58"/>
    </row>
    <row r="1094" spans="1:48" ht="13.5" customHeight="1">
      <c r="A1094" s="84">
        <v>1092</v>
      </c>
      <c r="B1094" s="85">
        <v>1724</v>
      </c>
      <c r="C1094" s="85" t="s">
        <v>39</v>
      </c>
      <c r="D1094" s="176">
        <v>279.28000000000003</v>
      </c>
      <c r="H1094" s="116"/>
      <c r="I1094" s="116">
        <v>1400</v>
      </c>
      <c r="J1094" s="149"/>
      <c r="K1094" s="119"/>
      <c r="L1094" s="119"/>
      <c r="M1094" s="119"/>
      <c r="N1094" s="119"/>
      <c r="O1094" s="119"/>
      <c r="P1094" s="119"/>
      <c r="Q1094" s="119">
        <v>547.91999999999996</v>
      </c>
      <c r="R1094" s="119"/>
      <c r="S1094" s="119"/>
      <c r="T1094" s="119"/>
      <c r="U1094" s="119"/>
      <c r="V1094" s="119"/>
      <c r="W1094" s="119"/>
      <c r="X1094" s="119"/>
      <c r="Y1094" s="119">
        <v>30</v>
      </c>
      <c r="Z1094" s="119"/>
      <c r="AA1094" s="119"/>
      <c r="AB1094" s="119"/>
      <c r="AC1094" s="119"/>
      <c r="AD1094" s="119"/>
      <c r="AE1094" s="119"/>
      <c r="AF1094" s="119"/>
      <c r="AG1094" s="119"/>
      <c r="AH1094" s="119"/>
      <c r="AI1094" s="119">
        <v>332.8</v>
      </c>
      <c r="AJ1094" s="119"/>
      <c r="AK1094" s="119"/>
      <c r="AL1094" s="165"/>
      <c r="AM1094" s="57">
        <v>140</v>
      </c>
      <c r="AN1094" s="57"/>
      <c r="AO1094" s="57">
        <v>70</v>
      </c>
      <c r="AP1094" s="57"/>
      <c r="AQ1094" s="57"/>
      <c r="AR1094" s="57"/>
      <c r="AS1094" s="57"/>
      <c r="AT1094" s="57"/>
      <c r="AU1094" s="58">
        <f t="shared" si="17"/>
        <v>279.28000000000003</v>
      </c>
      <c r="AV1094" s="58"/>
    </row>
    <row r="1095" spans="1:48" ht="13.5" customHeight="1">
      <c r="A1095" s="82">
        <v>1093</v>
      </c>
      <c r="B1095" s="85">
        <v>1725</v>
      </c>
      <c r="C1095" s="85" t="s">
        <v>39</v>
      </c>
      <c r="D1095" s="176">
        <v>134.3599999999999</v>
      </c>
      <c r="H1095" s="116"/>
      <c r="I1095" s="116">
        <v>1400</v>
      </c>
      <c r="J1095" s="149">
        <v>1205.6400000000001</v>
      </c>
      <c r="K1095" s="119"/>
      <c r="L1095" s="119"/>
      <c r="M1095" s="119"/>
      <c r="N1095" s="119"/>
      <c r="O1095" s="119"/>
      <c r="P1095" s="119"/>
      <c r="Q1095" s="119"/>
      <c r="R1095" s="119"/>
      <c r="S1095" s="119"/>
      <c r="T1095" s="119"/>
      <c r="U1095" s="119"/>
      <c r="V1095" s="119"/>
      <c r="W1095" s="119"/>
      <c r="X1095" s="119"/>
      <c r="Y1095" s="119"/>
      <c r="Z1095" s="119"/>
      <c r="AA1095" s="119"/>
      <c r="AB1095" s="119"/>
      <c r="AC1095" s="119"/>
      <c r="AD1095" s="119"/>
      <c r="AE1095" s="119"/>
      <c r="AF1095" s="119"/>
      <c r="AG1095" s="119"/>
      <c r="AH1095" s="119"/>
      <c r="AI1095" s="119">
        <v>60</v>
      </c>
      <c r="AJ1095" s="119"/>
      <c r="AK1095" s="119"/>
      <c r="AL1095" s="165"/>
      <c r="AM1095" s="57"/>
      <c r="AN1095" s="57"/>
      <c r="AO1095" s="57"/>
      <c r="AP1095" s="57"/>
      <c r="AQ1095" s="57"/>
      <c r="AR1095" s="57"/>
      <c r="AS1095" s="57"/>
      <c r="AT1095" s="57"/>
      <c r="AU1095" s="58">
        <f t="shared" si="17"/>
        <v>134.3599999999999</v>
      </c>
      <c r="AV1095" s="58"/>
    </row>
    <row r="1096" spans="1:48" ht="13.5" customHeight="1">
      <c r="A1096" s="84">
        <v>1094</v>
      </c>
      <c r="B1096" s="85">
        <v>1727</v>
      </c>
      <c r="C1096" s="85" t="s">
        <v>39</v>
      </c>
      <c r="D1096" s="176">
        <v>80</v>
      </c>
      <c r="H1096" s="116"/>
      <c r="I1096" s="116">
        <v>200</v>
      </c>
      <c r="J1096" s="149"/>
      <c r="K1096" s="119"/>
      <c r="L1096" s="119"/>
      <c r="M1096" s="119"/>
      <c r="N1096" s="119"/>
      <c r="O1096" s="119"/>
      <c r="P1096" s="119"/>
      <c r="Q1096" s="119"/>
      <c r="R1096" s="119">
        <v>120</v>
      </c>
      <c r="S1096" s="119"/>
      <c r="T1096" s="119"/>
      <c r="U1096" s="119"/>
      <c r="V1096" s="119"/>
      <c r="W1096" s="119"/>
      <c r="X1096" s="119"/>
      <c r="Y1096" s="119"/>
      <c r="Z1096" s="119"/>
      <c r="AA1096" s="119"/>
      <c r="AB1096" s="119"/>
      <c r="AC1096" s="119"/>
      <c r="AD1096" s="119"/>
      <c r="AE1096" s="119"/>
      <c r="AF1096" s="119"/>
      <c r="AG1096" s="119"/>
      <c r="AH1096" s="119"/>
      <c r="AI1096" s="119"/>
      <c r="AJ1096" s="119"/>
      <c r="AK1096" s="119"/>
      <c r="AL1096" s="165"/>
      <c r="AM1096" s="57"/>
      <c r="AN1096" s="57"/>
      <c r="AO1096" s="57"/>
      <c r="AP1096" s="57"/>
      <c r="AQ1096" s="57"/>
      <c r="AR1096" s="57"/>
      <c r="AS1096" s="57"/>
      <c r="AT1096" s="57"/>
      <c r="AU1096" s="58">
        <f t="shared" si="17"/>
        <v>80</v>
      </c>
      <c r="AV1096" s="58"/>
    </row>
    <row r="1097" spans="1:48" ht="13.5" customHeight="1">
      <c r="A1097" s="84">
        <v>1095</v>
      </c>
      <c r="B1097" s="85">
        <v>1729</v>
      </c>
      <c r="C1097" s="85" t="s">
        <v>39</v>
      </c>
      <c r="D1097" s="176">
        <v>50</v>
      </c>
      <c r="H1097" s="116"/>
      <c r="I1097" s="116">
        <v>350</v>
      </c>
      <c r="J1097" s="149"/>
      <c r="K1097" s="119"/>
      <c r="L1097" s="119"/>
      <c r="M1097" s="119"/>
      <c r="N1097" s="119"/>
      <c r="O1097" s="119"/>
      <c r="P1097" s="119">
        <v>300</v>
      </c>
      <c r="Q1097" s="119"/>
      <c r="R1097" s="119"/>
      <c r="S1097" s="119"/>
      <c r="T1097" s="119"/>
      <c r="U1097" s="119"/>
      <c r="V1097" s="119"/>
      <c r="W1097" s="119"/>
      <c r="X1097" s="119"/>
      <c r="Y1097" s="119"/>
      <c r="Z1097" s="119"/>
      <c r="AA1097" s="119"/>
      <c r="AB1097" s="119"/>
      <c r="AC1097" s="119"/>
      <c r="AD1097" s="119"/>
      <c r="AE1097" s="119"/>
      <c r="AF1097" s="119"/>
      <c r="AG1097" s="119"/>
      <c r="AH1097" s="119"/>
      <c r="AI1097" s="119"/>
      <c r="AJ1097" s="119"/>
      <c r="AK1097" s="119"/>
      <c r="AL1097" s="165"/>
      <c r="AM1097" s="57"/>
      <c r="AN1097" s="57"/>
      <c r="AO1097" s="57"/>
      <c r="AP1097" s="57"/>
      <c r="AQ1097" s="57"/>
      <c r="AR1097" s="57"/>
      <c r="AS1097" s="57"/>
      <c r="AT1097" s="57"/>
      <c r="AU1097" s="58">
        <f t="shared" si="17"/>
        <v>50</v>
      </c>
      <c r="AV1097" s="58"/>
    </row>
    <row r="1098" spans="1:48" ht="13.5" customHeight="1">
      <c r="A1098" s="82">
        <v>1096</v>
      </c>
      <c r="B1098" s="85">
        <v>1740</v>
      </c>
      <c r="C1098" s="85" t="s">
        <v>39</v>
      </c>
      <c r="D1098" s="176">
        <v>556.20000000000005</v>
      </c>
      <c r="H1098" s="116"/>
      <c r="I1098" s="116">
        <v>1400</v>
      </c>
      <c r="J1098" s="149">
        <v>743.8</v>
      </c>
      <c r="K1098" s="119"/>
      <c r="L1098" s="119"/>
      <c r="M1098" s="119"/>
      <c r="N1098" s="119"/>
      <c r="O1098" s="119"/>
      <c r="P1098" s="119"/>
      <c r="Q1098" s="119"/>
      <c r="R1098" s="119"/>
      <c r="S1098" s="119"/>
      <c r="T1098" s="119"/>
      <c r="U1098" s="119"/>
      <c r="V1098" s="119"/>
      <c r="W1098" s="119"/>
      <c r="X1098" s="119"/>
      <c r="Y1098" s="119"/>
      <c r="Z1098" s="119"/>
      <c r="AA1098" s="119"/>
      <c r="AB1098" s="119"/>
      <c r="AC1098" s="119"/>
      <c r="AD1098" s="119"/>
      <c r="AE1098" s="119">
        <v>100</v>
      </c>
      <c r="AF1098" s="119"/>
      <c r="AG1098" s="119"/>
      <c r="AH1098" s="119"/>
      <c r="AI1098" s="119"/>
      <c r="AJ1098" s="119"/>
      <c r="AK1098" s="119"/>
      <c r="AL1098" s="165"/>
      <c r="AM1098" s="57"/>
      <c r="AN1098" s="57"/>
      <c r="AO1098" s="57"/>
      <c r="AP1098" s="57"/>
      <c r="AQ1098" s="57"/>
      <c r="AR1098" s="57"/>
      <c r="AS1098" s="57"/>
      <c r="AT1098" s="57"/>
      <c r="AU1098" s="58">
        <f t="shared" si="17"/>
        <v>556.20000000000005</v>
      </c>
      <c r="AV1098" s="58"/>
    </row>
    <row r="1099" spans="1:48" ht="13.5" customHeight="1">
      <c r="A1099" s="84">
        <v>1097</v>
      </c>
      <c r="B1099" s="85">
        <v>1754</v>
      </c>
      <c r="C1099" s="85" t="s">
        <v>39</v>
      </c>
      <c r="D1099" s="176">
        <v>-697.20999999999992</v>
      </c>
      <c r="H1099" s="116"/>
      <c r="I1099" s="116">
        <v>1400</v>
      </c>
      <c r="J1099" s="149"/>
      <c r="K1099" s="119"/>
      <c r="L1099" s="119"/>
      <c r="M1099" s="119"/>
      <c r="N1099" s="119"/>
      <c r="O1099" s="119"/>
      <c r="P1099" s="119"/>
      <c r="Q1099" s="119"/>
      <c r="R1099" s="119">
        <v>719.4</v>
      </c>
      <c r="S1099" s="119"/>
      <c r="T1099" s="119"/>
      <c r="U1099" s="119"/>
      <c r="V1099" s="119"/>
      <c r="W1099" s="119"/>
      <c r="X1099" s="119"/>
      <c r="Y1099" s="119"/>
      <c r="Z1099" s="119"/>
      <c r="AA1099" s="119">
        <v>1377.81</v>
      </c>
      <c r="AB1099" s="119"/>
      <c r="AC1099" s="119"/>
      <c r="AD1099" s="119"/>
      <c r="AE1099" s="119"/>
      <c r="AF1099" s="119"/>
      <c r="AG1099" s="119"/>
      <c r="AH1099" s="119"/>
      <c r="AI1099" s="119"/>
      <c r="AJ1099" s="119"/>
      <c r="AK1099" s="119"/>
      <c r="AL1099" s="165"/>
      <c r="AM1099" s="57"/>
      <c r="AN1099" s="57"/>
      <c r="AO1099" s="57"/>
      <c r="AP1099" s="57"/>
      <c r="AQ1099" s="57"/>
      <c r="AR1099" s="57"/>
      <c r="AS1099" s="57"/>
      <c r="AT1099" s="57"/>
      <c r="AU1099" s="58">
        <f t="shared" si="17"/>
        <v>-697.20999999999992</v>
      </c>
      <c r="AV1099" s="58"/>
    </row>
    <row r="1100" spans="1:48" ht="13.5" customHeight="1">
      <c r="A1100" s="82">
        <v>1098</v>
      </c>
      <c r="B1100" s="85">
        <v>1755</v>
      </c>
      <c r="C1100" s="85" t="s">
        <v>39</v>
      </c>
      <c r="D1100" s="176">
        <v>-1663.6999999999998</v>
      </c>
      <c r="H1100" s="116"/>
      <c r="I1100" s="116">
        <v>1400</v>
      </c>
      <c r="J1100" s="149"/>
      <c r="K1100" s="119"/>
      <c r="L1100" s="119"/>
      <c r="M1100" s="119"/>
      <c r="N1100" s="119"/>
      <c r="O1100" s="119"/>
      <c r="P1100" s="119"/>
      <c r="Q1100" s="119"/>
      <c r="R1100" s="119">
        <v>719.4</v>
      </c>
      <c r="S1100" s="119"/>
      <c r="T1100" s="119"/>
      <c r="U1100" s="119"/>
      <c r="V1100" s="119"/>
      <c r="W1100" s="119"/>
      <c r="X1100" s="119"/>
      <c r="Y1100" s="119"/>
      <c r="Z1100" s="119">
        <v>1415.7</v>
      </c>
      <c r="AA1100" s="119"/>
      <c r="AB1100" s="119"/>
      <c r="AC1100" s="119"/>
      <c r="AD1100" s="119"/>
      <c r="AE1100" s="119"/>
      <c r="AF1100" s="119"/>
      <c r="AG1100" s="119"/>
      <c r="AH1100" s="119"/>
      <c r="AI1100" s="119"/>
      <c r="AJ1100" s="119"/>
      <c r="AK1100" s="119"/>
      <c r="AL1100" s="165">
        <v>150</v>
      </c>
      <c r="AM1100" s="57">
        <v>344</v>
      </c>
      <c r="AN1100" s="57"/>
      <c r="AO1100" s="57">
        <v>344.6</v>
      </c>
      <c r="AP1100" s="57">
        <v>60</v>
      </c>
      <c r="AQ1100" s="57"/>
      <c r="AR1100" s="57">
        <v>30</v>
      </c>
      <c r="AS1100" s="57"/>
      <c r="AT1100" s="57"/>
      <c r="AU1100" s="58">
        <f t="shared" si="17"/>
        <v>-1663.6999999999998</v>
      </c>
      <c r="AV1100" s="58"/>
    </row>
    <row r="1101" spans="1:48" ht="13.5" customHeight="1">
      <c r="A1101" s="84">
        <v>1099</v>
      </c>
      <c r="B1101" s="85">
        <v>1760</v>
      </c>
      <c r="C1101" s="85" t="s">
        <v>39</v>
      </c>
      <c r="D1101" s="176">
        <v>36.670000000000073</v>
      </c>
      <c r="H1101" s="116"/>
      <c r="I1101" s="116">
        <v>1400</v>
      </c>
      <c r="J1101" s="149">
        <v>1257.33</v>
      </c>
      <c r="K1101" s="119"/>
      <c r="L1101" s="119"/>
      <c r="M1101" s="119"/>
      <c r="N1101" s="119"/>
      <c r="O1101" s="119"/>
      <c r="P1101" s="119"/>
      <c r="Q1101" s="119"/>
      <c r="R1101" s="119"/>
      <c r="S1101" s="119"/>
      <c r="T1101" s="119"/>
      <c r="U1101" s="119"/>
      <c r="V1101" s="119"/>
      <c r="W1101" s="119"/>
      <c r="X1101" s="119"/>
      <c r="Y1101" s="119"/>
      <c r="Z1101" s="119"/>
      <c r="AA1101" s="119"/>
      <c r="AB1101" s="119"/>
      <c r="AC1101" s="119"/>
      <c r="AD1101" s="119"/>
      <c r="AE1101" s="119"/>
      <c r="AF1101" s="119"/>
      <c r="AG1101" s="119"/>
      <c r="AH1101" s="119"/>
      <c r="AI1101" s="119">
        <v>85</v>
      </c>
      <c r="AJ1101" s="119"/>
      <c r="AK1101" s="119"/>
      <c r="AL1101" s="165"/>
      <c r="AM1101" s="57">
        <v>21</v>
      </c>
      <c r="AN1101" s="57"/>
      <c r="AO1101" s="57"/>
      <c r="AP1101" s="57"/>
      <c r="AQ1101" s="57"/>
      <c r="AR1101" s="57"/>
      <c r="AS1101" s="57"/>
      <c r="AT1101" s="57"/>
      <c r="AU1101" s="58">
        <f t="shared" si="17"/>
        <v>36.670000000000073</v>
      </c>
      <c r="AV1101" s="58"/>
    </row>
    <row r="1102" spans="1:48" ht="13.5" customHeight="1">
      <c r="A1102" s="84">
        <v>1100</v>
      </c>
      <c r="B1102" s="85">
        <v>1761</v>
      </c>
      <c r="C1102" s="85" t="s">
        <v>39</v>
      </c>
      <c r="D1102" s="176">
        <v>-500.6</v>
      </c>
      <c r="H1102" s="116"/>
      <c r="I1102" s="116">
        <v>350</v>
      </c>
      <c r="J1102" s="149"/>
      <c r="K1102" s="119"/>
      <c r="L1102" s="119"/>
      <c r="M1102" s="119"/>
      <c r="N1102" s="119"/>
      <c r="O1102" s="119"/>
      <c r="P1102" s="119"/>
      <c r="Q1102" s="119"/>
      <c r="R1102" s="119"/>
      <c r="S1102" s="119"/>
      <c r="T1102" s="119"/>
      <c r="U1102" s="119">
        <v>700.6</v>
      </c>
      <c r="V1102" s="119"/>
      <c r="W1102" s="119">
        <v>150</v>
      </c>
      <c r="X1102" s="119"/>
      <c r="Y1102" s="119"/>
      <c r="Z1102" s="119"/>
      <c r="AA1102" s="119"/>
      <c r="AB1102" s="119"/>
      <c r="AC1102" s="119"/>
      <c r="AD1102" s="119"/>
      <c r="AE1102" s="119"/>
      <c r="AF1102" s="119"/>
      <c r="AG1102" s="119"/>
      <c r="AH1102" s="119"/>
      <c r="AI1102" s="119"/>
      <c r="AJ1102" s="119"/>
      <c r="AK1102" s="119"/>
      <c r="AL1102" s="165"/>
      <c r="AM1102" s="57"/>
      <c r="AN1102" s="57"/>
      <c r="AO1102" s="57"/>
      <c r="AP1102" s="57"/>
      <c r="AQ1102" s="57"/>
      <c r="AR1102" s="57"/>
      <c r="AS1102" s="57"/>
      <c r="AT1102" s="57"/>
      <c r="AU1102" s="58">
        <f t="shared" si="17"/>
        <v>-500.6</v>
      </c>
      <c r="AV1102" s="58"/>
    </row>
    <row r="1103" spans="1:48" ht="13.5" customHeight="1">
      <c r="A1103" s="82">
        <v>1101</v>
      </c>
      <c r="B1103" s="85">
        <v>1762</v>
      </c>
      <c r="C1103" s="85" t="s">
        <v>39</v>
      </c>
      <c r="D1103" s="176">
        <v>32.200000000000045</v>
      </c>
      <c r="H1103" s="116"/>
      <c r="I1103" s="116">
        <v>1400</v>
      </c>
      <c r="J1103" s="149"/>
      <c r="K1103" s="119"/>
      <c r="L1103" s="119"/>
      <c r="M1103" s="119"/>
      <c r="N1103" s="119"/>
      <c r="O1103" s="119"/>
      <c r="P1103" s="119"/>
      <c r="Q1103" s="119"/>
      <c r="R1103" s="119">
        <v>1033.3</v>
      </c>
      <c r="S1103" s="119"/>
      <c r="T1103" s="119"/>
      <c r="U1103" s="119"/>
      <c r="V1103" s="119"/>
      <c r="W1103" s="119"/>
      <c r="X1103" s="119"/>
      <c r="Y1103" s="119"/>
      <c r="Z1103" s="119"/>
      <c r="AA1103" s="119"/>
      <c r="AB1103" s="119">
        <v>100</v>
      </c>
      <c r="AC1103" s="119"/>
      <c r="AD1103" s="119"/>
      <c r="AE1103" s="119">
        <v>234.5</v>
      </c>
      <c r="AF1103" s="119"/>
      <c r="AG1103" s="119"/>
      <c r="AH1103" s="119"/>
      <c r="AI1103" s="119"/>
      <c r="AJ1103" s="119"/>
      <c r="AK1103" s="119"/>
      <c r="AL1103" s="165"/>
      <c r="AM1103" s="57"/>
      <c r="AN1103" s="57"/>
      <c r="AO1103" s="57"/>
      <c r="AP1103" s="57"/>
      <c r="AQ1103" s="57"/>
      <c r="AR1103" s="57"/>
      <c r="AS1103" s="57"/>
      <c r="AT1103" s="57"/>
      <c r="AU1103" s="58">
        <f t="shared" si="17"/>
        <v>32.200000000000045</v>
      </c>
      <c r="AV1103" s="58"/>
    </row>
    <row r="1104" spans="1:48" ht="13.5" customHeight="1">
      <c r="A1104" s="84">
        <v>1102</v>
      </c>
      <c r="B1104" s="85">
        <v>1764</v>
      </c>
      <c r="C1104" s="85" t="s">
        <v>39</v>
      </c>
      <c r="D1104" s="176">
        <v>825.6</v>
      </c>
      <c r="H1104" s="116"/>
      <c r="I1104" s="116">
        <v>1400</v>
      </c>
      <c r="J1104" s="149"/>
      <c r="K1104" s="119"/>
      <c r="L1104" s="119"/>
      <c r="M1104" s="119"/>
      <c r="N1104" s="119"/>
      <c r="O1104" s="119"/>
      <c r="P1104" s="119"/>
      <c r="Q1104" s="119"/>
      <c r="R1104" s="119"/>
      <c r="S1104" s="119"/>
      <c r="T1104" s="119"/>
      <c r="U1104" s="119"/>
      <c r="V1104" s="119"/>
      <c r="W1104" s="119">
        <v>499.4</v>
      </c>
      <c r="X1104" s="119"/>
      <c r="Y1104" s="119"/>
      <c r="Z1104" s="119"/>
      <c r="AA1104" s="119"/>
      <c r="AB1104" s="119"/>
      <c r="AC1104" s="119"/>
      <c r="AD1104" s="119"/>
      <c r="AE1104" s="119"/>
      <c r="AF1104" s="119">
        <v>25</v>
      </c>
      <c r="AG1104" s="119"/>
      <c r="AH1104" s="119"/>
      <c r="AI1104" s="119"/>
      <c r="AJ1104" s="119"/>
      <c r="AK1104" s="119"/>
      <c r="AL1104" s="165"/>
      <c r="AM1104" s="57">
        <v>50</v>
      </c>
      <c r="AN1104" s="57"/>
      <c r="AO1104" s="57"/>
      <c r="AP1104" s="57"/>
      <c r="AQ1104" s="57"/>
      <c r="AR1104" s="57"/>
      <c r="AS1104" s="57"/>
      <c r="AT1104" s="57"/>
      <c r="AU1104" s="58">
        <f t="shared" si="17"/>
        <v>825.6</v>
      </c>
      <c r="AV1104" s="58"/>
    </row>
    <row r="1105" spans="1:48" ht="14.25" customHeight="1">
      <c r="A1105" s="82">
        <v>1103</v>
      </c>
      <c r="B1105" s="85">
        <v>1774</v>
      </c>
      <c r="C1105" s="85" t="s">
        <v>39</v>
      </c>
      <c r="D1105" s="176">
        <v>300</v>
      </c>
      <c r="H1105" s="116"/>
      <c r="I1105" s="116">
        <v>350</v>
      </c>
      <c r="J1105" s="149"/>
      <c r="K1105" s="119"/>
      <c r="L1105" s="119"/>
      <c r="M1105" s="119"/>
      <c r="N1105" s="119"/>
      <c r="O1105" s="119"/>
      <c r="P1105" s="119"/>
      <c r="Q1105" s="119"/>
      <c r="R1105" s="119"/>
      <c r="S1105" s="119"/>
      <c r="T1105" s="119"/>
      <c r="U1105" s="119"/>
      <c r="V1105" s="119"/>
      <c r="W1105" s="119"/>
      <c r="X1105" s="119"/>
      <c r="Y1105" s="119">
        <v>50</v>
      </c>
      <c r="Z1105" s="119"/>
      <c r="AA1105" s="119"/>
      <c r="AB1105" s="119"/>
      <c r="AC1105" s="119"/>
      <c r="AD1105" s="119"/>
      <c r="AE1105" s="119"/>
      <c r="AF1105" s="119"/>
      <c r="AG1105" s="119"/>
      <c r="AH1105" s="119"/>
      <c r="AI1105" s="119"/>
      <c r="AJ1105" s="119"/>
      <c r="AK1105" s="119"/>
      <c r="AL1105" s="165"/>
      <c r="AM1105" s="57"/>
      <c r="AN1105" s="57"/>
      <c r="AO1105" s="57"/>
      <c r="AP1105" s="57"/>
      <c r="AQ1105" s="57"/>
      <c r="AR1105" s="57"/>
      <c r="AS1105" s="57"/>
      <c r="AT1105" s="57"/>
      <c r="AU1105" s="58">
        <f t="shared" si="17"/>
        <v>300</v>
      </c>
      <c r="AV1105" s="58"/>
    </row>
    <row r="1106" spans="1:48" ht="14.25" customHeight="1">
      <c r="A1106" s="84">
        <v>1104</v>
      </c>
      <c r="B1106" s="85">
        <v>1775</v>
      </c>
      <c r="C1106" s="85" t="s">
        <v>39</v>
      </c>
      <c r="D1106" s="176">
        <v>203.20000000000005</v>
      </c>
      <c r="H1106" s="116"/>
      <c r="I1106" s="116">
        <v>1400</v>
      </c>
      <c r="J1106" s="149">
        <v>0</v>
      </c>
      <c r="K1106" s="119"/>
      <c r="L1106" s="119"/>
      <c r="M1106" s="119"/>
      <c r="N1106" s="119"/>
      <c r="O1106" s="119"/>
      <c r="P1106" s="119"/>
      <c r="Q1106" s="119"/>
      <c r="R1106" s="119"/>
      <c r="S1106" s="119"/>
      <c r="T1106" s="119"/>
      <c r="U1106" s="119"/>
      <c r="V1106" s="119"/>
      <c r="W1106" s="119"/>
      <c r="X1106" s="119"/>
      <c r="Y1106" s="119"/>
      <c r="Z1106" s="119"/>
      <c r="AA1106" s="119"/>
      <c r="AB1106" s="119"/>
      <c r="AC1106" s="119"/>
      <c r="AD1106" s="119"/>
      <c r="AE1106" s="119">
        <v>580.9</v>
      </c>
      <c r="AF1106" s="119"/>
      <c r="AG1106" s="119"/>
      <c r="AH1106" s="119"/>
      <c r="AI1106" s="119"/>
      <c r="AJ1106" s="119"/>
      <c r="AK1106" s="119"/>
      <c r="AL1106" s="165"/>
      <c r="AM1106" s="57">
        <v>580.9</v>
      </c>
      <c r="AN1106" s="57"/>
      <c r="AO1106" s="57"/>
      <c r="AP1106" s="57"/>
      <c r="AQ1106" s="57"/>
      <c r="AR1106" s="57"/>
      <c r="AS1106" s="57"/>
      <c r="AT1106" s="57">
        <v>35</v>
      </c>
      <c r="AU1106" s="58">
        <f t="shared" si="17"/>
        <v>203.20000000000005</v>
      </c>
      <c r="AV1106" s="58"/>
    </row>
    <row r="1107" spans="1:48" ht="13.5" customHeight="1">
      <c r="A1107" s="84">
        <v>1105</v>
      </c>
      <c r="B1107" s="85">
        <v>1777</v>
      </c>
      <c r="C1107" s="85" t="s">
        <v>39</v>
      </c>
      <c r="D1107" s="176">
        <v>620.29999999999995</v>
      </c>
      <c r="H1107" s="116"/>
      <c r="I1107" s="116">
        <v>1400</v>
      </c>
      <c r="J1107" s="149"/>
      <c r="K1107" s="119"/>
      <c r="L1107" s="119"/>
      <c r="M1107" s="119"/>
      <c r="N1107" s="119"/>
      <c r="O1107" s="119"/>
      <c r="P1107" s="119"/>
      <c r="Q1107" s="119"/>
      <c r="R1107" s="119"/>
      <c r="S1107" s="119"/>
      <c r="T1107" s="119"/>
      <c r="U1107" s="119"/>
      <c r="V1107" s="119"/>
      <c r="W1107" s="119"/>
      <c r="X1107" s="119">
        <v>140.4</v>
      </c>
      <c r="Y1107" s="119"/>
      <c r="Z1107" s="119"/>
      <c r="AA1107" s="119"/>
      <c r="AB1107" s="119">
        <v>144</v>
      </c>
      <c r="AC1107" s="119"/>
      <c r="AD1107" s="119">
        <v>495.3</v>
      </c>
      <c r="AE1107" s="119"/>
      <c r="AF1107" s="119"/>
      <c r="AG1107" s="119"/>
      <c r="AH1107" s="119"/>
      <c r="AI1107" s="119"/>
      <c r="AJ1107" s="119"/>
      <c r="AK1107" s="119"/>
      <c r="AL1107" s="165"/>
      <c r="AM1107" s="57"/>
      <c r="AN1107" s="57"/>
      <c r="AO1107" s="57"/>
      <c r="AP1107" s="57"/>
      <c r="AQ1107" s="57"/>
      <c r="AR1107" s="57"/>
      <c r="AS1107" s="57"/>
      <c r="AT1107" s="57"/>
      <c r="AU1107" s="58">
        <f t="shared" si="17"/>
        <v>620.29999999999995</v>
      </c>
      <c r="AV1107" s="58"/>
    </row>
    <row r="1108" spans="1:48" ht="13.5" customHeight="1">
      <c r="A1108" s="82">
        <v>1106</v>
      </c>
      <c r="B1108" s="85">
        <v>1779</v>
      </c>
      <c r="C1108" s="85" t="s">
        <v>39</v>
      </c>
      <c r="D1108" s="176">
        <v>-434.99</v>
      </c>
      <c r="H1108" s="116"/>
      <c r="I1108" s="116">
        <v>1400</v>
      </c>
      <c r="J1108" s="149">
        <v>1589.99</v>
      </c>
      <c r="K1108" s="119"/>
      <c r="L1108" s="119"/>
      <c r="M1108" s="119"/>
      <c r="N1108" s="119"/>
      <c r="O1108" s="119"/>
      <c r="P1108" s="119"/>
      <c r="Q1108" s="119"/>
      <c r="R1108" s="119"/>
      <c r="S1108" s="119"/>
      <c r="T1108" s="119"/>
      <c r="U1108" s="119"/>
      <c r="V1108" s="119"/>
      <c r="W1108" s="119"/>
      <c r="X1108" s="119"/>
      <c r="Y1108" s="119"/>
      <c r="Z1108" s="119"/>
      <c r="AA1108" s="119"/>
      <c r="AB1108" s="119"/>
      <c r="AC1108" s="119"/>
      <c r="AD1108" s="119"/>
      <c r="AE1108" s="119"/>
      <c r="AF1108" s="119"/>
      <c r="AG1108" s="119"/>
      <c r="AH1108" s="119">
        <v>20</v>
      </c>
      <c r="AI1108" s="119">
        <v>130</v>
      </c>
      <c r="AJ1108" s="119">
        <v>95</v>
      </c>
      <c r="AK1108" s="119"/>
      <c r="AL1108" s="165"/>
      <c r="AM1108" s="57"/>
      <c r="AN1108" s="57"/>
      <c r="AO1108" s="57"/>
      <c r="AP1108" s="57"/>
      <c r="AQ1108" s="57"/>
      <c r="AR1108" s="57"/>
      <c r="AS1108" s="57"/>
      <c r="AT1108" s="57"/>
      <c r="AU1108" s="58">
        <f t="shared" si="17"/>
        <v>-434.99</v>
      </c>
      <c r="AV1108" s="58"/>
    </row>
    <row r="1109" spans="1:48" ht="13.5" customHeight="1">
      <c r="A1109" s="84">
        <v>1107</v>
      </c>
      <c r="B1109" s="85">
        <v>1783</v>
      </c>
      <c r="C1109" s="85" t="s">
        <v>39</v>
      </c>
      <c r="D1109" s="176">
        <v>210.7</v>
      </c>
      <c r="H1109" s="116"/>
      <c r="I1109" s="116">
        <v>882</v>
      </c>
      <c r="J1109" s="149"/>
      <c r="K1109" s="119"/>
      <c r="L1109" s="119"/>
      <c r="M1109" s="119"/>
      <c r="N1109" s="119"/>
      <c r="O1109" s="119"/>
      <c r="P1109" s="119"/>
      <c r="Q1109" s="119"/>
      <c r="R1109" s="119">
        <v>395.1</v>
      </c>
      <c r="S1109" s="119"/>
      <c r="T1109" s="119"/>
      <c r="U1109" s="119"/>
      <c r="V1109" s="119"/>
      <c r="W1109" s="119"/>
      <c r="X1109" s="119"/>
      <c r="Y1109" s="119"/>
      <c r="Z1109" s="119"/>
      <c r="AA1109" s="119"/>
      <c r="AB1109" s="119">
        <v>126.2</v>
      </c>
      <c r="AC1109" s="119"/>
      <c r="AD1109" s="119"/>
      <c r="AE1109" s="119"/>
      <c r="AF1109" s="119"/>
      <c r="AG1109" s="119"/>
      <c r="AH1109" s="119"/>
      <c r="AI1109" s="119"/>
      <c r="AJ1109" s="119"/>
      <c r="AK1109" s="119"/>
      <c r="AL1109" s="165"/>
      <c r="AM1109" s="57"/>
      <c r="AN1109" s="57"/>
      <c r="AO1109" s="57">
        <v>150</v>
      </c>
      <c r="AP1109" s="57"/>
      <c r="AQ1109" s="57"/>
      <c r="AR1109" s="57"/>
      <c r="AS1109" s="57"/>
      <c r="AT1109" s="57"/>
      <c r="AU1109" s="58">
        <f t="shared" si="17"/>
        <v>210.7</v>
      </c>
      <c r="AV1109" s="58"/>
    </row>
    <row r="1110" spans="1:48" ht="13.5" customHeight="1">
      <c r="A1110" s="82">
        <v>1108</v>
      </c>
      <c r="B1110" s="85">
        <v>1789</v>
      </c>
      <c r="C1110" s="85" t="s">
        <v>39</v>
      </c>
      <c r="D1110" s="175">
        <v>-174</v>
      </c>
      <c r="H1110" s="56"/>
      <c r="I1110" s="56">
        <v>560</v>
      </c>
      <c r="J1110" s="148">
        <v>585</v>
      </c>
      <c r="K1110" s="57"/>
      <c r="L1110" s="57"/>
      <c r="M1110" s="57"/>
      <c r="N1110" s="57"/>
      <c r="O1110" s="57"/>
      <c r="P1110" s="57"/>
      <c r="Q1110" s="57"/>
      <c r="R1110" s="57"/>
      <c r="S1110" s="57"/>
      <c r="T1110" s="57"/>
      <c r="U1110" s="57"/>
      <c r="V1110" s="57"/>
      <c r="W1110" s="57"/>
      <c r="X1110" s="57"/>
      <c r="Y1110" s="57"/>
      <c r="Z1110" s="57"/>
      <c r="AA1110" s="57"/>
      <c r="AB1110" s="57"/>
      <c r="AC1110" s="57"/>
      <c r="AD1110" s="57"/>
      <c r="AE1110" s="57"/>
      <c r="AF1110" s="57"/>
      <c r="AG1110" s="57"/>
      <c r="AH1110" s="57"/>
      <c r="AI1110" s="57"/>
      <c r="AJ1110" s="57"/>
      <c r="AK1110" s="57">
        <v>149</v>
      </c>
      <c r="AL1110" s="57"/>
      <c r="AM1110" s="57"/>
      <c r="AN1110" s="57"/>
      <c r="AO1110" s="57"/>
      <c r="AP1110" s="57"/>
      <c r="AQ1110" s="57"/>
      <c r="AR1110" s="57"/>
      <c r="AS1110" s="57"/>
      <c r="AT1110" s="57"/>
      <c r="AU1110" s="58">
        <f t="shared" si="17"/>
        <v>-174</v>
      </c>
      <c r="AV1110" s="58"/>
    </row>
    <row r="1111" spans="1:48" ht="13.5" customHeight="1">
      <c r="A1111" s="84">
        <v>1109</v>
      </c>
      <c r="B1111" s="85">
        <v>1793</v>
      </c>
      <c r="C1111" s="85" t="s">
        <v>39</v>
      </c>
      <c r="D1111" s="176">
        <v>488.19000000000005</v>
      </c>
      <c r="H1111" s="116"/>
      <c r="I1111" s="116">
        <v>1400</v>
      </c>
      <c r="J1111" s="149">
        <v>677.31</v>
      </c>
      <c r="K1111" s="119"/>
      <c r="L1111" s="119"/>
      <c r="M1111" s="119"/>
      <c r="N1111" s="119"/>
      <c r="O1111" s="119"/>
      <c r="P1111" s="119"/>
      <c r="Q1111" s="119"/>
      <c r="R1111" s="119"/>
      <c r="S1111" s="119"/>
      <c r="T1111" s="119"/>
      <c r="U1111" s="119"/>
      <c r="V1111" s="119"/>
      <c r="W1111" s="119"/>
      <c r="X1111" s="119"/>
      <c r="Y1111" s="119"/>
      <c r="Z1111" s="119"/>
      <c r="AA1111" s="119"/>
      <c r="AB1111" s="119"/>
      <c r="AC1111" s="119"/>
      <c r="AD1111" s="119"/>
      <c r="AE1111" s="119">
        <v>234.5</v>
      </c>
      <c r="AF1111" s="119"/>
      <c r="AG1111" s="119"/>
      <c r="AH1111" s="119"/>
      <c r="AI1111" s="119"/>
      <c r="AJ1111" s="119"/>
      <c r="AK1111" s="119"/>
      <c r="AL1111" s="165"/>
      <c r="AM1111" s="57"/>
      <c r="AN1111" s="57"/>
      <c r="AO1111" s="57"/>
      <c r="AP1111" s="57"/>
      <c r="AQ1111" s="57"/>
      <c r="AR1111" s="57"/>
      <c r="AS1111" s="57"/>
      <c r="AT1111" s="57"/>
      <c r="AU1111" s="58">
        <f t="shared" si="17"/>
        <v>488.19000000000005</v>
      </c>
      <c r="AV1111" s="58"/>
    </row>
    <row r="1112" spans="1:48" ht="13.5" customHeight="1">
      <c r="A1112" s="84">
        <v>1110</v>
      </c>
      <c r="B1112" s="85">
        <v>1794</v>
      </c>
      <c r="C1112" s="85" t="s">
        <v>39</v>
      </c>
      <c r="D1112" s="176">
        <v>646.4</v>
      </c>
      <c r="H1112" s="116"/>
      <c r="I1112" s="116">
        <v>1400</v>
      </c>
      <c r="J1112" s="149"/>
      <c r="K1112" s="119"/>
      <c r="L1112" s="119"/>
      <c r="M1112" s="119"/>
      <c r="N1112" s="119"/>
      <c r="O1112" s="119"/>
      <c r="P1112" s="119"/>
      <c r="Q1112" s="119"/>
      <c r="R1112" s="119"/>
      <c r="S1112" s="119"/>
      <c r="T1112" s="119"/>
      <c r="U1112" s="119"/>
      <c r="V1112" s="119"/>
      <c r="W1112" s="119"/>
      <c r="X1112" s="119"/>
      <c r="Y1112" s="119"/>
      <c r="Z1112" s="119"/>
      <c r="AA1112" s="119"/>
      <c r="AB1112" s="119"/>
      <c r="AC1112" s="119"/>
      <c r="AD1112" s="119"/>
      <c r="AE1112" s="119"/>
      <c r="AF1112" s="119"/>
      <c r="AG1112" s="119"/>
      <c r="AH1112" s="119">
        <v>120</v>
      </c>
      <c r="AI1112" s="119">
        <v>633.6</v>
      </c>
      <c r="AJ1112" s="119"/>
      <c r="AK1112" s="119"/>
      <c r="AL1112" s="165"/>
      <c r="AM1112" s="57"/>
      <c r="AN1112" s="57"/>
      <c r="AO1112" s="57"/>
      <c r="AP1112" s="57"/>
      <c r="AQ1112" s="57"/>
      <c r="AR1112" s="57"/>
      <c r="AS1112" s="57"/>
      <c r="AT1112" s="57"/>
      <c r="AU1112" s="58">
        <f t="shared" si="17"/>
        <v>646.4</v>
      </c>
      <c r="AV1112" s="58"/>
    </row>
    <row r="1113" spans="1:48" ht="13.5" customHeight="1">
      <c r="A1113" s="82">
        <v>1111</v>
      </c>
      <c r="B1113" s="85">
        <v>1819</v>
      </c>
      <c r="C1113" s="85" t="s">
        <v>39</v>
      </c>
      <c r="D1113" s="176">
        <v>210</v>
      </c>
      <c r="H1113" s="116"/>
      <c r="I1113" s="116">
        <v>350</v>
      </c>
      <c r="J1113" s="149"/>
      <c r="K1113" s="119"/>
      <c r="L1113" s="119"/>
      <c r="M1113" s="119"/>
      <c r="N1113" s="119"/>
      <c r="O1113" s="119"/>
      <c r="P1113" s="119"/>
      <c r="Q1113" s="119"/>
      <c r="R1113" s="119"/>
      <c r="S1113" s="119"/>
      <c r="T1113" s="119"/>
      <c r="U1113" s="119">
        <v>140</v>
      </c>
      <c r="V1113" s="119"/>
      <c r="W1113" s="119"/>
      <c r="X1113" s="119"/>
      <c r="Y1113" s="119"/>
      <c r="Z1113" s="119"/>
      <c r="AA1113" s="119"/>
      <c r="AB1113" s="119"/>
      <c r="AC1113" s="119"/>
      <c r="AD1113" s="119"/>
      <c r="AE1113" s="119"/>
      <c r="AF1113" s="119"/>
      <c r="AG1113" s="119"/>
      <c r="AH1113" s="119"/>
      <c r="AI1113" s="119"/>
      <c r="AJ1113" s="119"/>
      <c r="AK1113" s="119"/>
      <c r="AL1113" s="165"/>
      <c r="AM1113" s="57"/>
      <c r="AN1113" s="57"/>
      <c r="AO1113" s="57"/>
      <c r="AP1113" s="57"/>
      <c r="AQ1113" s="57"/>
      <c r="AR1113" s="57"/>
      <c r="AS1113" s="57"/>
      <c r="AT1113" s="57"/>
      <c r="AU1113" s="58">
        <f t="shared" si="17"/>
        <v>210</v>
      </c>
      <c r="AV1113" s="58"/>
    </row>
    <row r="1114" spans="1:48" ht="13.5" customHeight="1">
      <c r="A1114" s="84">
        <v>1112</v>
      </c>
      <c r="B1114" s="85">
        <v>1823</v>
      </c>
      <c r="C1114" s="85" t="s">
        <v>39</v>
      </c>
      <c r="D1114" s="176">
        <v>965.5</v>
      </c>
      <c r="H1114" s="116"/>
      <c r="I1114" s="116">
        <v>1400</v>
      </c>
      <c r="J1114" s="149"/>
      <c r="K1114" s="119"/>
      <c r="L1114" s="119"/>
      <c r="M1114" s="119"/>
      <c r="N1114" s="119"/>
      <c r="O1114" s="119"/>
      <c r="P1114" s="119"/>
      <c r="Q1114" s="119"/>
      <c r="R1114" s="119"/>
      <c r="S1114" s="119"/>
      <c r="T1114" s="119"/>
      <c r="U1114" s="119"/>
      <c r="V1114" s="119"/>
      <c r="W1114" s="119"/>
      <c r="X1114" s="119">
        <v>434.5</v>
      </c>
      <c r="Y1114" s="119"/>
      <c r="Z1114" s="119"/>
      <c r="AA1114" s="119"/>
      <c r="AB1114" s="119"/>
      <c r="AC1114" s="119"/>
      <c r="AD1114" s="119"/>
      <c r="AE1114" s="119"/>
      <c r="AF1114" s="119"/>
      <c r="AG1114" s="119"/>
      <c r="AH1114" s="119"/>
      <c r="AI1114" s="119"/>
      <c r="AJ1114" s="119"/>
      <c r="AK1114" s="119"/>
      <c r="AL1114" s="165"/>
      <c r="AM1114" s="57"/>
      <c r="AN1114" s="57"/>
      <c r="AO1114" s="57"/>
      <c r="AP1114" s="57"/>
      <c r="AQ1114" s="57"/>
      <c r="AR1114" s="57"/>
      <c r="AS1114" s="57"/>
      <c r="AT1114" s="57"/>
      <c r="AU1114" s="58">
        <f t="shared" si="17"/>
        <v>965.5</v>
      </c>
      <c r="AV1114" s="58"/>
    </row>
    <row r="1115" spans="1:48" ht="13.5" customHeight="1">
      <c r="A1115" s="82">
        <v>1113</v>
      </c>
      <c r="B1115" s="85">
        <v>1825</v>
      </c>
      <c r="C1115" s="85" t="s">
        <v>39</v>
      </c>
      <c r="D1115" s="176">
        <v>728.6</v>
      </c>
      <c r="H1115" s="116"/>
      <c r="I1115" s="116">
        <v>1400</v>
      </c>
      <c r="J1115" s="149"/>
      <c r="K1115" s="119"/>
      <c r="L1115" s="119"/>
      <c r="M1115" s="119"/>
      <c r="N1115" s="119"/>
      <c r="O1115" s="119"/>
      <c r="P1115" s="119"/>
      <c r="Q1115" s="119"/>
      <c r="R1115" s="119"/>
      <c r="S1115" s="119"/>
      <c r="T1115" s="119"/>
      <c r="U1115" s="119">
        <v>671.4</v>
      </c>
      <c r="V1115" s="119"/>
      <c r="W1115" s="119"/>
      <c r="X1115" s="119"/>
      <c r="Y1115" s="119"/>
      <c r="Z1115" s="119"/>
      <c r="AA1115" s="119"/>
      <c r="AB1115" s="119"/>
      <c r="AC1115" s="119"/>
      <c r="AD1115" s="119"/>
      <c r="AE1115" s="119"/>
      <c r="AF1115" s="119"/>
      <c r="AG1115" s="119"/>
      <c r="AH1115" s="119"/>
      <c r="AI1115" s="119"/>
      <c r="AJ1115" s="119"/>
      <c r="AK1115" s="119"/>
      <c r="AL1115" s="165"/>
      <c r="AM1115" s="57"/>
      <c r="AN1115" s="57"/>
      <c r="AO1115" s="57"/>
      <c r="AP1115" s="57"/>
      <c r="AQ1115" s="57"/>
      <c r="AR1115" s="57"/>
      <c r="AS1115" s="57"/>
      <c r="AT1115" s="57"/>
      <c r="AU1115" s="58">
        <f t="shared" si="17"/>
        <v>728.6</v>
      </c>
      <c r="AV1115" s="58"/>
    </row>
    <row r="1116" spans="1:48" ht="13.5" customHeight="1">
      <c r="A1116" s="84">
        <v>1114</v>
      </c>
      <c r="B1116" s="85">
        <v>1834</v>
      </c>
      <c r="C1116" s="85" t="s">
        <v>39</v>
      </c>
      <c r="D1116" s="176">
        <v>-2797</v>
      </c>
      <c r="H1116" s="116"/>
      <c r="I1116" s="116">
        <v>1400</v>
      </c>
      <c r="J1116" s="149"/>
      <c r="K1116" s="119"/>
      <c r="L1116" s="119"/>
      <c r="M1116" s="119"/>
      <c r="N1116" s="119"/>
      <c r="O1116" s="119"/>
      <c r="P1116" s="119"/>
      <c r="Q1116" s="119"/>
      <c r="R1116" s="119"/>
      <c r="S1116" s="119"/>
      <c r="T1116" s="119"/>
      <c r="U1116" s="119">
        <v>1230</v>
      </c>
      <c r="V1116" s="119">
        <v>560</v>
      </c>
      <c r="W1116" s="119">
        <v>240</v>
      </c>
      <c r="X1116" s="119"/>
      <c r="Y1116" s="119"/>
      <c r="Z1116" s="119">
        <v>2167</v>
      </c>
      <c r="AA1116" s="119"/>
      <c r="AB1116" s="119"/>
      <c r="AC1116" s="119"/>
      <c r="AD1116" s="119"/>
      <c r="AE1116" s="119"/>
      <c r="AF1116" s="119"/>
      <c r="AG1116" s="119"/>
      <c r="AH1116" s="119"/>
      <c r="AI1116" s="119"/>
      <c r="AJ1116" s="119"/>
      <c r="AK1116" s="119"/>
      <c r="AL1116" s="165"/>
      <c r="AM1116" s="57"/>
      <c r="AN1116" s="57"/>
      <c r="AO1116" s="57"/>
      <c r="AP1116" s="57"/>
      <c r="AQ1116" s="57"/>
      <c r="AR1116" s="57"/>
      <c r="AS1116" s="57"/>
      <c r="AT1116" s="57"/>
      <c r="AU1116" s="58">
        <f t="shared" si="17"/>
        <v>-2797</v>
      </c>
      <c r="AV1116" s="58"/>
    </row>
    <row r="1117" spans="1:48" ht="13.5" customHeight="1">
      <c r="A1117" s="84">
        <v>1115</v>
      </c>
      <c r="B1117" s="85">
        <v>1835</v>
      </c>
      <c r="C1117" s="85" t="s">
        <v>39</v>
      </c>
      <c r="D1117" s="176">
        <v>-2327.3000000000002</v>
      </c>
      <c r="H1117" s="116"/>
      <c r="I1117" s="116">
        <v>2400</v>
      </c>
      <c r="J1117" s="149">
        <v>0</v>
      </c>
      <c r="K1117" s="119"/>
      <c r="L1117" s="119"/>
      <c r="M1117" s="119"/>
      <c r="N1117" s="119"/>
      <c r="O1117" s="119"/>
      <c r="P1117" s="119"/>
      <c r="Q1117" s="119"/>
      <c r="R1117" s="119"/>
      <c r="S1117" s="119"/>
      <c r="T1117" s="119"/>
      <c r="U1117" s="119"/>
      <c r="V1117" s="119"/>
      <c r="W1117" s="119"/>
      <c r="X1117" s="119">
        <v>2297.8000000000002</v>
      </c>
      <c r="Y1117" s="119">
        <v>75</v>
      </c>
      <c r="Z1117" s="119"/>
      <c r="AA1117" s="119"/>
      <c r="AB1117" s="119"/>
      <c r="AC1117" s="119"/>
      <c r="AD1117" s="119"/>
      <c r="AE1117" s="119"/>
      <c r="AF1117" s="119"/>
      <c r="AG1117" s="119"/>
      <c r="AH1117" s="119"/>
      <c r="AI1117" s="119"/>
      <c r="AJ1117" s="119"/>
      <c r="AK1117" s="119"/>
      <c r="AL1117" s="165">
        <f>240+149.9</f>
        <v>389.9</v>
      </c>
      <c r="AM1117" s="57">
        <v>350</v>
      </c>
      <c r="AN1117" s="57">
        <f>371.2+1103.4</f>
        <v>1474.6000000000001</v>
      </c>
      <c r="AO1117" s="57"/>
      <c r="AP1117" s="57"/>
      <c r="AQ1117" s="57">
        <v>140</v>
      </c>
      <c r="AR1117" s="57"/>
      <c r="AS1117" s="57"/>
      <c r="AT1117" s="57"/>
      <c r="AU1117" s="58">
        <f t="shared" si="17"/>
        <v>-2327.3000000000002</v>
      </c>
      <c r="AV1117" s="58"/>
    </row>
    <row r="1118" spans="1:48" ht="13.5" customHeight="1">
      <c r="A1118" s="82">
        <v>1116</v>
      </c>
      <c r="B1118" s="85">
        <v>1836</v>
      </c>
      <c r="C1118" s="85" t="s">
        <v>39</v>
      </c>
      <c r="D1118" s="176">
        <v>-49</v>
      </c>
      <c r="F1118" s="45">
        <v>1400</v>
      </c>
      <c r="G1118" s="117">
        <v>1400</v>
      </c>
      <c r="H1118" s="116"/>
      <c r="I1118" s="116">
        <v>1400</v>
      </c>
      <c r="J1118" s="149"/>
      <c r="K1118" s="119"/>
      <c r="L1118" s="119"/>
      <c r="M1118" s="119"/>
      <c r="N1118" s="119"/>
      <c r="O1118" s="119"/>
      <c r="P1118" s="119"/>
      <c r="Q1118" s="119"/>
      <c r="R1118" s="119"/>
      <c r="S1118" s="119"/>
      <c r="T1118" s="119"/>
      <c r="U1118" s="119"/>
      <c r="V1118" s="119">
        <v>665.3</v>
      </c>
      <c r="W1118" s="119"/>
      <c r="X1118" s="119"/>
      <c r="Y1118" s="119"/>
      <c r="Z1118" s="119"/>
      <c r="AA1118" s="119"/>
      <c r="AB1118" s="119"/>
      <c r="AC1118" s="119"/>
      <c r="AD1118" s="119"/>
      <c r="AE1118" s="119"/>
      <c r="AF1118" s="119"/>
      <c r="AG1118" s="119"/>
      <c r="AH1118" s="119"/>
      <c r="AI1118" s="119">
        <v>783.7</v>
      </c>
      <c r="AJ1118" s="119"/>
      <c r="AK1118" s="119"/>
      <c r="AL1118" s="165"/>
      <c r="AM1118" s="57"/>
      <c r="AN1118" s="57"/>
      <c r="AO1118" s="57"/>
      <c r="AP1118" s="57"/>
      <c r="AQ1118" s="57"/>
      <c r="AR1118" s="57"/>
      <c r="AS1118" s="57"/>
      <c r="AT1118" s="57"/>
      <c r="AU1118" s="58">
        <f t="shared" si="17"/>
        <v>-49</v>
      </c>
      <c r="AV1118" s="58"/>
    </row>
    <row r="1119" spans="1:48" ht="13.5" customHeight="1">
      <c r="A1119" s="84">
        <v>1117</v>
      </c>
      <c r="B1119" s="85">
        <v>1837</v>
      </c>
      <c r="C1119" s="85" t="s">
        <v>39</v>
      </c>
      <c r="D1119" s="176">
        <v>850</v>
      </c>
      <c r="H1119" s="116"/>
      <c r="I1119" s="116">
        <v>1400</v>
      </c>
      <c r="J1119" s="149"/>
      <c r="K1119" s="119"/>
      <c r="L1119" s="119"/>
      <c r="M1119" s="119"/>
      <c r="N1119" s="119"/>
      <c r="O1119" s="119"/>
      <c r="P1119" s="119"/>
      <c r="Q1119" s="119"/>
      <c r="R1119" s="119"/>
      <c r="S1119" s="119"/>
      <c r="T1119" s="119"/>
      <c r="U1119" s="119">
        <v>300</v>
      </c>
      <c r="V1119" s="119"/>
      <c r="W1119" s="119"/>
      <c r="X1119" s="119"/>
      <c r="Y1119" s="119"/>
      <c r="Z1119" s="119">
        <v>250</v>
      </c>
      <c r="AA1119" s="119"/>
      <c r="AB1119" s="119"/>
      <c r="AC1119" s="119"/>
      <c r="AD1119" s="119"/>
      <c r="AE1119" s="119"/>
      <c r="AF1119" s="119"/>
      <c r="AG1119" s="119"/>
      <c r="AH1119" s="119"/>
      <c r="AI1119" s="119"/>
      <c r="AJ1119" s="119"/>
      <c r="AK1119" s="119"/>
      <c r="AL1119" s="165"/>
      <c r="AM1119" s="57"/>
      <c r="AN1119" s="57"/>
      <c r="AO1119" s="57"/>
      <c r="AP1119" s="57"/>
      <c r="AQ1119" s="57"/>
      <c r="AR1119" s="57"/>
      <c r="AS1119" s="57"/>
      <c r="AT1119" s="57"/>
      <c r="AU1119" s="58">
        <f t="shared" si="17"/>
        <v>850</v>
      </c>
      <c r="AV1119" s="58"/>
    </row>
    <row r="1120" spans="1:48" ht="13.5" customHeight="1">
      <c r="A1120" s="82">
        <v>1118</v>
      </c>
      <c r="B1120" s="85">
        <v>1844</v>
      </c>
      <c r="C1120" s="85" t="s">
        <v>39</v>
      </c>
      <c r="D1120" s="176">
        <v>-2027.39</v>
      </c>
      <c r="H1120" s="116"/>
      <c r="I1120" s="116">
        <v>1400</v>
      </c>
      <c r="J1120" s="149"/>
      <c r="K1120" s="119"/>
      <c r="L1120" s="119"/>
      <c r="M1120" s="119"/>
      <c r="N1120" s="119"/>
      <c r="O1120" s="119"/>
      <c r="P1120" s="119"/>
      <c r="Q1120" s="119"/>
      <c r="R1120" s="119"/>
      <c r="S1120" s="119"/>
      <c r="T1120" s="119"/>
      <c r="U1120" s="119">
        <v>150</v>
      </c>
      <c r="V1120" s="119"/>
      <c r="W1120" s="119"/>
      <c r="X1120" s="119"/>
      <c r="Y1120" s="119"/>
      <c r="Z1120" s="119">
        <v>2167</v>
      </c>
      <c r="AA1120" s="119"/>
      <c r="AB1120" s="119"/>
      <c r="AC1120" s="119">
        <v>0</v>
      </c>
      <c r="AD1120" s="119"/>
      <c r="AE1120" s="119">
        <v>1042.3900000000001</v>
      </c>
      <c r="AF1120" s="119"/>
      <c r="AG1120" s="119"/>
      <c r="AH1120" s="119">
        <v>18</v>
      </c>
      <c r="AI1120" s="119"/>
      <c r="AJ1120" s="119"/>
      <c r="AK1120" s="119"/>
      <c r="AL1120" s="165">
        <v>50</v>
      </c>
      <c r="AM1120" s="57"/>
      <c r="AN1120" s="57"/>
      <c r="AO1120" s="57"/>
      <c r="AP1120" s="57"/>
      <c r="AQ1120" s="57"/>
      <c r="AR1120" s="57"/>
      <c r="AS1120" s="57"/>
      <c r="AT1120" s="57"/>
      <c r="AU1120" s="58">
        <f t="shared" si="17"/>
        <v>-2027.39</v>
      </c>
      <c r="AV1120" s="58"/>
    </row>
    <row r="1121" spans="1:48" ht="13.5" customHeight="1">
      <c r="A1121" s="84">
        <v>1119</v>
      </c>
      <c r="B1121" s="85">
        <v>1846</v>
      </c>
      <c r="C1121" s="85" t="s">
        <v>39</v>
      </c>
      <c r="D1121" s="176">
        <v>575.20000000000005</v>
      </c>
      <c r="H1121" s="116"/>
      <c r="I1121" s="116">
        <v>1400</v>
      </c>
      <c r="J1121" s="149">
        <v>0</v>
      </c>
      <c r="K1121" s="119"/>
      <c r="L1121" s="119"/>
      <c r="M1121" s="119"/>
      <c r="N1121" s="119"/>
      <c r="O1121" s="119"/>
      <c r="P1121" s="119"/>
      <c r="Q1121" s="119"/>
      <c r="R1121" s="119"/>
      <c r="S1121" s="119"/>
      <c r="T1121" s="119"/>
      <c r="U1121" s="119"/>
      <c r="V1121" s="119"/>
      <c r="W1121" s="119"/>
      <c r="X1121" s="119"/>
      <c r="Y1121" s="119"/>
      <c r="Z1121" s="119"/>
      <c r="AA1121" s="119"/>
      <c r="AB1121" s="119"/>
      <c r="AC1121" s="119"/>
      <c r="AD1121" s="119"/>
      <c r="AE1121" s="119"/>
      <c r="AF1121" s="119">
        <v>824.8</v>
      </c>
      <c r="AG1121" s="119"/>
      <c r="AH1121" s="119"/>
      <c r="AI1121" s="119"/>
      <c r="AJ1121" s="119"/>
      <c r="AK1121" s="119"/>
      <c r="AL1121" s="165"/>
      <c r="AM1121" s="57"/>
      <c r="AN1121" s="57"/>
      <c r="AO1121" s="57"/>
      <c r="AP1121" s="57"/>
      <c r="AQ1121" s="57"/>
      <c r="AR1121" s="57"/>
      <c r="AS1121" s="57"/>
      <c r="AT1121" s="57"/>
      <c r="AU1121" s="58">
        <f t="shared" si="17"/>
        <v>575.20000000000005</v>
      </c>
      <c r="AV1121" s="58"/>
    </row>
    <row r="1122" spans="1:48">
      <c r="A1122" s="84">
        <v>1120</v>
      </c>
      <c r="B1122" s="85">
        <v>1851</v>
      </c>
      <c r="C1122" s="85" t="s">
        <v>39</v>
      </c>
      <c r="D1122" s="176">
        <v>523.5</v>
      </c>
      <c r="H1122" s="116"/>
      <c r="I1122" s="116">
        <v>1400</v>
      </c>
      <c r="J1122" s="149"/>
      <c r="K1122" s="119"/>
      <c r="L1122" s="119"/>
      <c r="M1122" s="119"/>
      <c r="N1122" s="119"/>
      <c r="O1122" s="119"/>
      <c r="P1122" s="119"/>
      <c r="Q1122" s="119"/>
      <c r="R1122" s="119"/>
      <c r="S1122" s="119"/>
      <c r="T1122" s="119"/>
      <c r="U1122" s="119"/>
      <c r="V1122" s="119"/>
      <c r="W1122" s="119"/>
      <c r="X1122" s="119"/>
      <c r="Y1122" s="119"/>
      <c r="Z1122" s="119"/>
      <c r="AA1122" s="119"/>
      <c r="AB1122" s="119">
        <v>660</v>
      </c>
      <c r="AC1122" s="119"/>
      <c r="AD1122" s="119"/>
      <c r="AE1122" s="119"/>
      <c r="AF1122" s="119">
        <v>216.5</v>
      </c>
      <c r="AG1122" s="119"/>
      <c r="AH1122" s="119"/>
      <c r="AI1122" s="119"/>
      <c r="AJ1122" s="119"/>
      <c r="AK1122" s="119"/>
      <c r="AL1122" s="165"/>
      <c r="AM1122" s="57"/>
      <c r="AN1122" s="57"/>
      <c r="AO1122" s="57"/>
      <c r="AP1122" s="57"/>
      <c r="AQ1122" s="57"/>
      <c r="AR1122" s="57"/>
      <c r="AS1122" s="57"/>
      <c r="AT1122" s="57"/>
      <c r="AU1122" s="58">
        <f t="shared" si="17"/>
        <v>523.5</v>
      </c>
      <c r="AV1122" s="58"/>
    </row>
    <row r="1123" spans="1:48">
      <c r="A1123" s="82">
        <v>1121</v>
      </c>
      <c r="B1123" s="85">
        <v>1852</v>
      </c>
      <c r="C1123" s="85" t="s">
        <v>39</v>
      </c>
      <c r="D1123" s="176">
        <v>-2244.4900000000002</v>
      </c>
      <c r="F1123" s="45">
        <v>128</v>
      </c>
      <c r="G1123" s="117">
        <v>128</v>
      </c>
      <c r="H1123" s="116"/>
      <c r="I1123" s="116">
        <v>128</v>
      </c>
      <c r="J1123" s="149"/>
      <c r="K1123" s="119"/>
      <c r="L1123" s="119"/>
      <c r="M1123" s="119"/>
      <c r="N1123" s="119"/>
      <c r="O1123" s="119"/>
      <c r="P1123" s="119"/>
      <c r="Q1123" s="119"/>
      <c r="R1123" s="119"/>
      <c r="S1123" s="119"/>
      <c r="T1123" s="119"/>
      <c r="U1123" s="119"/>
      <c r="V1123" s="119">
        <v>80</v>
      </c>
      <c r="W1123" s="119">
        <v>30</v>
      </c>
      <c r="X1123" s="119">
        <v>100</v>
      </c>
      <c r="Y1123" s="119">
        <v>260</v>
      </c>
      <c r="Z1123" s="119">
        <v>70</v>
      </c>
      <c r="AA1123" s="119"/>
      <c r="AB1123" s="119">
        <v>1120</v>
      </c>
      <c r="AC1123" s="119"/>
      <c r="AD1123" s="119"/>
      <c r="AE1123" s="119">
        <v>80</v>
      </c>
      <c r="AF1123" s="119"/>
      <c r="AG1123" s="119"/>
      <c r="AH1123" s="119">
        <v>152.6</v>
      </c>
      <c r="AI1123" s="119"/>
      <c r="AJ1123" s="119">
        <v>30</v>
      </c>
      <c r="AK1123" s="119"/>
      <c r="AL1123" s="165"/>
      <c r="AM1123" s="57"/>
      <c r="AN1123" s="57">
        <v>150</v>
      </c>
      <c r="AO1123" s="57">
        <v>149.99</v>
      </c>
      <c r="AP1123" s="57">
        <v>149.9</v>
      </c>
      <c r="AQ1123" s="57"/>
      <c r="AR1123" s="57"/>
      <c r="AS1123" s="57"/>
      <c r="AT1123" s="57"/>
      <c r="AU1123" s="58">
        <f t="shared" si="17"/>
        <v>-2244.4900000000002</v>
      </c>
      <c r="AV1123" s="58"/>
    </row>
    <row r="1124" spans="1:48">
      <c r="A1124" s="84">
        <v>1122</v>
      </c>
      <c r="B1124" s="85">
        <v>1857</v>
      </c>
      <c r="C1124" s="85" t="s">
        <v>39</v>
      </c>
      <c r="D1124" s="176">
        <v>1265</v>
      </c>
      <c r="G1124" s="117"/>
      <c r="H1124" s="116"/>
      <c r="I1124" s="116">
        <v>1400</v>
      </c>
      <c r="J1124" s="149"/>
      <c r="K1124" s="119"/>
      <c r="L1124" s="119"/>
      <c r="M1124" s="119"/>
      <c r="N1124" s="119"/>
      <c r="O1124" s="119"/>
      <c r="P1124" s="119"/>
      <c r="Q1124" s="119"/>
      <c r="R1124" s="119"/>
      <c r="S1124" s="119"/>
      <c r="T1124" s="119"/>
      <c r="U1124" s="119"/>
      <c r="V1124" s="119"/>
      <c r="W1124" s="119"/>
      <c r="X1124" s="119"/>
      <c r="Y1124" s="119"/>
      <c r="Z1124" s="119"/>
      <c r="AA1124" s="119"/>
      <c r="AB1124" s="119"/>
      <c r="AC1124" s="119"/>
      <c r="AD1124" s="119"/>
      <c r="AE1124" s="119"/>
      <c r="AF1124" s="119"/>
      <c r="AG1124" s="119"/>
      <c r="AH1124" s="119"/>
      <c r="AI1124" s="119"/>
      <c r="AJ1124" s="119"/>
      <c r="AK1124" s="119"/>
      <c r="AL1124" s="165">
        <v>135</v>
      </c>
      <c r="AM1124" s="57"/>
      <c r="AN1124" s="57"/>
      <c r="AO1124" s="57"/>
      <c r="AP1124" s="57"/>
      <c r="AQ1124" s="57"/>
      <c r="AR1124" s="57"/>
      <c r="AS1124" s="57"/>
      <c r="AT1124" s="57"/>
      <c r="AU1124" s="58">
        <f t="shared" si="17"/>
        <v>1265</v>
      </c>
      <c r="AV1124" s="58"/>
    </row>
    <row r="1125" spans="1:48">
      <c r="A1125" s="82">
        <v>1123</v>
      </c>
      <c r="B1125" s="85">
        <v>1870</v>
      </c>
      <c r="C1125" s="85" t="s">
        <v>39</v>
      </c>
      <c r="D1125" s="176">
        <v>-331.63</v>
      </c>
      <c r="G1125" s="117"/>
      <c r="H1125" s="116"/>
      <c r="I1125" s="116">
        <v>1400</v>
      </c>
      <c r="J1125" s="149"/>
      <c r="K1125" s="119"/>
      <c r="L1125" s="119"/>
      <c r="M1125" s="119"/>
      <c r="N1125" s="119"/>
      <c r="O1125" s="119"/>
      <c r="P1125" s="119"/>
      <c r="Q1125" s="119"/>
      <c r="R1125" s="119"/>
      <c r="S1125" s="119"/>
      <c r="T1125" s="119"/>
      <c r="U1125" s="119"/>
      <c r="V1125" s="119"/>
      <c r="W1125" s="119"/>
      <c r="X1125" s="119"/>
      <c r="Y1125" s="119"/>
      <c r="Z1125" s="119"/>
      <c r="AA1125" s="119"/>
      <c r="AB1125" s="119">
        <v>880</v>
      </c>
      <c r="AC1125" s="119"/>
      <c r="AD1125" s="119"/>
      <c r="AE1125" s="119"/>
      <c r="AF1125" s="119"/>
      <c r="AG1125" s="119"/>
      <c r="AH1125" s="119"/>
      <c r="AI1125" s="119"/>
      <c r="AJ1125" s="119"/>
      <c r="AK1125" s="119"/>
      <c r="AL1125" s="165"/>
      <c r="AM1125" s="57"/>
      <c r="AN1125" s="57"/>
      <c r="AO1125" s="57">
        <v>851.63</v>
      </c>
      <c r="AP1125" s="57"/>
      <c r="AQ1125" s="57"/>
      <c r="AR1125" s="57"/>
      <c r="AS1125" s="57"/>
      <c r="AT1125" s="57"/>
      <c r="AU1125" s="58">
        <f t="shared" si="17"/>
        <v>-331.63</v>
      </c>
      <c r="AV1125" s="58"/>
    </row>
    <row r="1126" spans="1:48">
      <c r="A1126" s="84">
        <v>1124</v>
      </c>
      <c r="B1126" s="85">
        <v>1872</v>
      </c>
      <c r="C1126" s="85" t="s">
        <v>39</v>
      </c>
      <c r="D1126" s="175">
        <v>66.349999999999909</v>
      </c>
      <c r="G1126" s="117"/>
      <c r="H1126" s="56"/>
      <c r="I1126" s="56">
        <v>1400</v>
      </c>
      <c r="J1126" s="148">
        <v>0</v>
      </c>
      <c r="K1126" s="57"/>
      <c r="L1126" s="57"/>
      <c r="M1126" s="57"/>
      <c r="N1126" s="57"/>
      <c r="O1126" s="57"/>
      <c r="P1126" s="57"/>
      <c r="Q1126" s="57"/>
      <c r="R1126" s="57"/>
      <c r="S1126" s="57"/>
      <c r="T1126" s="57"/>
      <c r="U1126" s="57"/>
      <c r="V1126" s="57"/>
      <c r="W1126" s="57"/>
      <c r="X1126" s="57"/>
      <c r="Y1126" s="57"/>
      <c r="Z1126" s="57"/>
      <c r="AA1126" s="57"/>
      <c r="AB1126" s="57"/>
      <c r="AC1126" s="57"/>
      <c r="AD1126" s="57"/>
      <c r="AE1126" s="57"/>
      <c r="AF1126" s="57"/>
      <c r="AG1126" s="57"/>
      <c r="AH1126" s="57"/>
      <c r="AI1126" s="57"/>
      <c r="AJ1126" s="57"/>
      <c r="AK1126" s="57">
        <v>1056.6500000000001</v>
      </c>
      <c r="AL1126" s="57"/>
      <c r="AM1126" s="57"/>
      <c r="AN1126" s="57"/>
      <c r="AO1126" s="57"/>
      <c r="AP1126" s="57">
        <v>40</v>
      </c>
      <c r="AQ1126" s="57"/>
      <c r="AR1126" s="57"/>
      <c r="AS1126" s="57"/>
      <c r="AT1126" s="57">
        <v>237</v>
      </c>
      <c r="AU1126" s="58">
        <f t="shared" si="17"/>
        <v>66.349999999999909</v>
      </c>
      <c r="AV1126" s="58"/>
    </row>
    <row r="1127" spans="1:48">
      <c r="A1127" s="84">
        <v>1125</v>
      </c>
      <c r="B1127" s="85">
        <v>1873</v>
      </c>
      <c r="C1127" s="85" t="s">
        <v>39</v>
      </c>
      <c r="D1127" s="175">
        <v>-1085.1500000000001</v>
      </c>
      <c r="G1127" s="117"/>
      <c r="H1127" s="56"/>
      <c r="I1127" s="56">
        <v>1400</v>
      </c>
      <c r="J1127" s="148">
        <v>638.5</v>
      </c>
      <c r="K1127" s="57"/>
      <c r="L1127" s="57"/>
      <c r="M1127" s="57"/>
      <c r="N1127" s="57"/>
      <c r="O1127" s="57"/>
      <c r="P1127" s="57"/>
      <c r="Q1127" s="57"/>
      <c r="R1127" s="57"/>
      <c r="S1127" s="57"/>
      <c r="T1127" s="57"/>
      <c r="U1127" s="57"/>
      <c r="V1127" s="57"/>
      <c r="W1127" s="57"/>
      <c r="X1127" s="57"/>
      <c r="Y1127" s="57"/>
      <c r="Z1127" s="57"/>
      <c r="AA1127" s="57"/>
      <c r="AB1127" s="57"/>
      <c r="AC1127" s="57"/>
      <c r="AD1127" s="57"/>
      <c r="AE1127" s="57"/>
      <c r="AF1127" s="57"/>
      <c r="AG1127" s="57"/>
      <c r="AH1127" s="57"/>
      <c r="AI1127" s="57">
        <v>350</v>
      </c>
      <c r="AJ1127" s="57"/>
      <c r="AK1127" s="57">
        <v>1056.6500000000001</v>
      </c>
      <c r="AL1127" s="57">
        <v>380</v>
      </c>
      <c r="AM1127" s="57"/>
      <c r="AN1127" s="57"/>
      <c r="AO1127" s="57">
        <v>35</v>
      </c>
      <c r="AP1127" s="57"/>
      <c r="AQ1127" s="57"/>
      <c r="AR1127" s="57"/>
      <c r="AS1127" s="57">
        <v>25</v>
      </c>
      <c r="AT1127" s="57"/>
      <c r="AU1127" s="58">
        <f t="shared" si="17"/>
        <v>-1085.1500000000001</v>
      </c>
      <c r="AV1127" s="58"/>
    </row>
    <row r="1128" spans="1:48">
      <c r="A1128" s="82">
        <v>1126</v>
      </c>
      <c r="B1128" s="85">
        <v>1874</v>
      </c>
      <c r="C1128" s="85" t="s">
        <v>39</v>
      </c>
      <c r="D1128" s="175">
        <v>123.30000000000004</v>
      </c>
      <c r="G1128" s="117"/>
      <c r="H1128" s="56"/>
      <c r="I1128" s="56">
        <v>1400</v>
      </c>
      <c r="J1128" s="148">
        <v>1144.8</v>
      </c>
      <c r="K1128" s="57"/>
      <c r="L1128" s="57"/>
      <c r="M1128" s="57"/>
      <c r="N1128" s="57"/>
      <c r="O1128" s="57"/>
      <c r="P1128" s="57"/>
      <c r="Q1128" s="57"/>
      <c r="R1128" s="57"/>
      <c r="S1128" s="57"/>
      <c r="T1128" s="57"/>
      <c r="U1128" s="57"/>
      <c r="V1128" s="57"/>
      <c r="W1128" s="57"/>
      <c r="X1128" s="57"/>
      <c r="Y1128" s="57"/>
      <c r="Z1128" s="57"/>
      <c r="AA1128" s="57"/>
      <c r="AB1128" s="57"/>
      <c r="AC1128" s="57"/>
      <c r="AD1128" s="57"/>
      <c r="AE1128" s="57"/>
      <c r="AF1128" s="57"/>
      <c r="AG1128" s="57"/>
      <c r="AH1128" s="57"/>
      <c r="AI1128" s="57"/>
      <c r="AJ1128" s="57"/>
      <c r="AK1128" s="57"/>
      <c r="AL1128" s="57"/>
      <c r="AM1128" s="57"/>
      <c r="AN1128" s="57"/>
      <c r="AO1128" s="57">
        <v>131.9</v>
      </c>
      <c r="AP1128" s="57"/>
      <c r="AQ1128" s="57"/>
      <c r="AR1128" s="57"/>
      <c r="AS1128" s="57"/>
      <c r="AT1128" s="57"/>
      <c r="AU1128" s="58">
        <f t="shared" si="17"/>
        <v>123.30000000000004</v>
      </c>
      <c r="AV1128" s="58"/>
    </row>
    <row r="1129" spans="1:48">
      <c r="A1129" s="84">
        <v>1127</v>
      </c>
      <c r="B1129" s="85">
        <v>1876</v>
      </c>
      <c r="C1129" s="85" t="s">
        <v>39</v>
      </c>
      <c r="D1129" s="176">
        <v>-272.3</v>
      </c>
      <c r="G1129" s="117"/>
      <c r="H1129" s="116"/>
      <c r="I1129" s="116">
        <v>1400</v>
      </c>
      <c r="J1129" s="149"/>
      <c r="K1129" s="119"/>
      <c r="L1129" s="119"/>
      <c r="M1129" s="119"/>
      <c r="N1129" s="119"/>
      <c r="O1129" s="119"/>
      <c r="P1129" s="119"/>
      <c r="Q1129" s="119"/>
      <c r="R1129" s="119"/>
      <c r="S1129" s="119"/>
      <c r="T1129" s="119"/>
      <c r="U1129" s="119"/>
      <c r="V1129" s="119"/>
      <c r="W1129" s="119"/>
      <c r="X1129" s="119"/>
      <c r="Y1129" s="119"/>
      <c r="Z1129" s="119"/>
      <c r="AA1129" s="119"/>
      <c r="AB1129" s="119">
        <v>880</v>
      </c>
      <c r="AC1129" s="119"/>
      <c r="AD1129" s="119"/>
      <c r="AE1129" s="119"/>
      <c r="AF1129" s="119"/>
      <c r="AG1129" s="119"/>
      <c r="AH1129" s="119">
        <v>452.5</v>
      </c>
      <c r="AI1129" s="119"/>
      <c r="AJ1129" s="119"/>
      <c r="AK1129" s="119"/>
      <c r="AL1129" s="165"/>
      <c r="AM1129" s="57"/>
      <c r="AN1129" s="57"/>
      <c r="AO1129" s="57"/>
      <c r="AP1129" s="57"/>
      <c r="AQ1129" s="57"/>
      <c r="AR1129" s="57">
        <v>339.8</v>
      </c>
      <c r="AS1129" s="57"/>
      <c r="AT1129" s="57"/>
      <c r="AU1129" s="58">
        <f t="shared" si="17"/>
        <v>-272.3</v>
      </c>
      <c r="AV1129" s="58"/>
    </row>
    <row r="1130" spans="1:48">
      <c r="A1130" s="82">
        <v>1128</v>
      </c>
      <c r="B1130" s="85">
        <v>1889</v>
      </c>
      <c r="C1130" s="85" t="s">
        <v>39</v>
      </c>
      <c r="D1130" s="176">
        <v>239.31</v>
      </c>
      <c r="G1130" s="117"/>
      <c r="H1130" s="116"/>
      <c r="I1130" s="116">
        <v>560</v>
      </c>
      <c r="J1130" s="149"/>
      <c r="K1130" s="119"/>
      <c r="L1130" s="119"/>
      <c r="M1130" s="119"/>
      <c r="N1130" s="119"/>
      <c r="O1130" s="119"/>
      <c r="P1130" s="119"/>
      <c r="Q1130" s="119"/>
      <c r="R1130" s="119"/>
      <c r="S1130" s="119"/>
      <c r="T1130" s="119"/>
      <c r="U1130" s="119"/>
      <c r="V1130" s="119"/>
      <c r="W1130" s="119"/>
      <c r="X1130" s="119"/>
      <c r="Y1130" s="119">
        <v>320.69</v>
      </c>
      <c r="Z1130" s="119"/>
      <c r="AA1130" s="119"/>
      <c r="AB1130" s="119"/>
      <c r="AC1130" s="119"/>
      <c r="AD1130" s="119"/>
      <c r="AE1130" s="119"/>
      <c r="AF1130" s="119"/>
      <c r="AG1130" s="119"/>
      <c r="AH1130" s="119"/>
      <c r="AI1130" s="119"/>
      <c r="AJ1130" s="119"/>
      <c r="AK1130" s="119"/>
      <c r="AL1130" s="165"/>
      <c r="AM1130" s="57"/>
      <c r="AN1130" s="57"/>
      <c r="AO1130" s="57"/>
      <c r="AP1130" s="57"/>
      <c r="AQ1130" s="57"/>
      <c r="AR1130" s="57"/>
      <c r="AS1130" s="57"/>
      <c r="AT1130" s="57"/>
      <c r="AU1130" s="58">
        <f t="shared" si="17"/>
        <v>239.31</v>
      </c>
      <c r="AV1130" s="58"/>
    </row>
    <row r="1131" spans="1:48">
      <c r="A1131" s="84">
        <v>1129</v>
      </c>
      <c r="B1131" s="85">
        <v>1899</v>
      </c>
      <c r="C1131" s="85" t="s">
        <v>39</v>
      </c>
      <c r="D1131" s="176">
        <v>203</v>
      </c>
      <c r="G1131" s="117"/>
      <c r="H1131" s="116"/>
      <c r="I1131" s="116">
        <v>882</v>
      </c>
      <c r="J1131" s="149"/>
      <c r="K1131" s="119"/>
      <c r="L1131" s="119"/>
      <c r="M1131" s="119"/>
      <c r="N1131" s="119"/>
      <c r="O1131" s="119"/>
      <c r="P1131" s="119"/>
      <c r="Q1131" s="119"/>
      <c r="R1131" s="119"/>
      <c r="S1131" s="119"/>
      <c r="T1131" s="119"/>
      <c r="U1131" s="119"/>
      <c r="V1131" s="119"/>
      <c r="W1131" s="119"/>
      <c r="X1131" s="119"/>
      <c r="Y1131" s="119"/>
      <c r="Z1131" s="119"/>
      <c r="AA1131" s="119"/>
      <c r="AB1131" s="119"/>
      <c r="AC1131" s="119"/>
      <c r="AD1131" s="119">
        <v>647</v>
      </c>
      <c r="AE1131" s="119"/>
      <c r="AF1131" s="119"/>
      <c r="AG1131" s="119"/>
      <c r="AH1131" s="119"/>
      <c r="AI1131" s="119"/>
      <c r="AJ1131" s="119"/>
      <c r="AK1131" s="119"/>
      <c r="AL1131" s="165"/>
      <c r="AM1131" s="57">
        <v>32</v>
      </c>
      <c r="AN1131" s="57"/>
      <c r="AO1131" s="57"/>
      <c r="AP1131" s="57"/>
      <c r="AQ1131" s="57"/>
      <c r="AR1131" s="57"/>
      <c r="AS1131" s="57"/>
      <c r="AT1131" s="57"/>
      <c r="AU1131" s="58">
        <f t="shared" si="17"/>
        <v>203</v>
      </c>
      <c r="AV1131" s="58"/>
    </row>
    <row r="1132" spans="1:48">
      <c r="A1132" s="84">
        <v>1130</v>
      </c>
      <c r="B1132" s="85">
        <v>1908</v>
      </c>
      <c r="C1132" s="85" t="s">
        <v>39</v>
      </c>
      <c r="D1132" s="176">
        <v>633</v>
      </c>
      <c r="G1132" s="117"/>
      <c r="H1132" s="116"/>
      <c r="I1132" s="116">
        <v>1400</v>
      </c>
      <c r="J1132" s="149"/>
      <c r="K1132" s="119"/>
      <c r="L1132" s="119"/>
      <c r="M1132" s="119"/>
      <c r="N1132" s="119"/>
      <c r="O1132" s="119"/>
      <c r="P1132" s="119"/>
      <c r="Q1132" s="119"/>
      <c r="R1132" s="119"/>
      <c r="S1132" s="119"/>
      <c r="T1132" s="119"/>
      <c r="U1132" s="119"/>
      <c r="V1132" s="119"/>
      <c r="W1132" s="119"/>
      <c r="X1132" s="119"/>
      <c r="Y1132" s="119"/>
      <c r="Z1132" s="119"/>
      <c r="AA1132" s="119"/>
      <c r="AB1132" s="119"/>
      <c r="AC1132" s="119">
        <v>144</v>
      </c>
      <c r="AD1132" s="119"/>
      <c r="AE1132" s="119"/>
      <c r="AF1132" s="119">
        <v>237</v>
      </c>
      <c r="AG1132" s="119"/>
      <c r="AH1132" s="119"/>
      <c r="AI1132" s="119">
        <v>237</v>
      </c>
      <c r="AJ1132" s="119"/>
      <c r="AK1132" s="119"/>
      <c r="AL1132" s="165"/>
      <c r="AM1132" s="57"/>
      <c r="AN1132" s="57"/>
      <c r="AO1132" s="57"/>
      <c r="AP1132" s="57">
        <v>149</v>
      </c>
      <c r="AQ1132" s="57"/>
      <c r="AR1132" s="57"/>
      <c r="AS1132" s="57"/>
      <c r="AT1132" s="57"/>
      <c r="AU1132" s="58">
        <f t="shared" si="17"/>
        <v>633</v>
      </c>
      <c r="AV1132" s="58"/>
    </row>
    <row r="1133" spans="1:48">
      <c r="A1133" s="82">
        <v>1131</v>
      </c>
      <c r="B1133" s="85">
        <v>1918</v>
      </c>
      <c r="C1133" s="85" t="s">
        <v>39</v>
      </c>
      <c r="D1133" s="176">
        <v>1250</v>
      </c>
      <c r="G1133" s="117"/>
      <c r="H1133" s="116"/>
      <c r="I1133" s="116">
        <v>1400</v>
      </c>
      <c r="J1133" s="149"/>
      <c r="K1133" s="119"/>
      <c r="L1133" s="119"/>
      <c r="M1133" s="119"/>
      <c r="N1133" s="119"/>
      <c r="O1133" s="119"/>
      <c r="P1133" s="119"/>
      <c r="Q1133" s="119"/>
      <c r="R1133" s="119"/>
      <c r="S1133" s="119"/>
      <c r="T1133" s="119"/>
      <c r="U1133" s="119"/>
      <c r="V1133" s="119"/>
      <c r="W1133" s="119"/>
      <c r="X1133" s="119"/>
      <c r="Y1133" s="119"/>
      <c r="Z1133" s="119"/>
      <c r="AA1133" s="119">
        <v>150</v>
      </c>
      <c r="AB1133" s="119"/>
      <c r="AC1133" s="119"/>
      <c r="AD1133" s="119"/>
      <c r="AE1133" s="119"/>
      <c r="AF1133" s="119"/>
      <c r="AG1133" s="119"/>
      <c r="AH1133" s="119"/>
      <c r="AI1133" s="119"/>
      <c r="AJ1133" s="119"/>
      <c r="AK1133" s="119"/>
      <c r="AL1133" s="165"/>
      <c r="AM1133" s="57"/>
      <c r="AN1133" s="57"/>
      <c r="AO1133" s="57"/>
      <c r="AP1133" s="57"/>
      <c r="AQ1133" s="57"/>
      <c r="AR1133" s="57"/>
      <c r="AS1133" s="57"/>
      <c r="AT1133" s="57"/>
      <c r="AU1133" s="58">
        <f t="shared" si="17"/>
        <v>1250</v>
      </c>
      <c r="AV1133" s="58"/>
    </row>
    <row r="1134" spans="1:48">
      <c r="A1134" s="84">
        <v>1132</v>
      </c>
      <c r="B1134" s="85">
        <v>1945</v>
      </c>
      <c r="C1134" s="85" t="s">
        <v>39</v>
      </c>
      <c r="D1134" s="176">
        <v>66</v>
      </c>
      <c r="G1134" s="117"/>
      <c r="H1134" s="116"/>
      <c r="I1134" s="116">
        <v>1400</v>
      </c>
      <c r="J1134" s="149">
        <v>714</v>
      </c>
      <c r="K1134" s="119"/>
      <c r="L1134" s="119"/>
      <c r="M1134" s="119"/>
      <c r="N1134" s="119"/>
      <c r="O1134" s="119"/>
      <c r="P1134" s="119"/>
      <c r="Q1134" s="119"/>
      <c r="R1134" s="119"/>
      <c r="S1134" s="119"/>
      <c r="T1134" s="119"/>
      <c r="U1134" s="119"/>
      <c r="V1134" s="119"/>
      <c r="W1134" s="119"/>
      <c r="X1134" s="119"/>
      <c r="Y1134" s="119"/>
      <c r="Z1134" s="119"/>
      <c r="AA1134" s="119"/>
      <c r="AB1134" s="119"/>
      <c r="AC1134" s="119"/>
      <c r="AD1134" s="119"/>
      <c r="AE1134" s="119"/>
      <c r="AF1134" s="119"/>
      <c r="AG1134" s="119"/>
      <c r="AH1134" s="119"/>
      <c r="AI1134" s="119"/>
      <c r="AJ1134" s="119">
        <v>600</v>
      </c>
      <c r="AK1134" s="119"/>
      <c r="AL1134" s="165"/>
      <c r="AM1134" s="57"/>
      <c r="AN1134" s="57">
        <v>20</v>
      </c>
      <c r="AO1134" s="57"/>
      <c r="AP1134" s="57"/>
      <c r="AQ1134" s="57"/>
      <c r="AR1134" s="57"/>
      <c r="AS1134" s="57"/>
      <c r="AT1134" s="57"/>
      <c r="AU1134" s="58">
        <f t="shared" si="17"/>
        <v>66</v>
      </c>
      <c r="AV1134" s="58"/>
    </row>
    <row r="1135" spans="1:48">
      <c r="A1135" s="82">
        <v>1133</v>
      </c>
      <c r="B1135" s="85">
        <v>1960</v>
      </c>
      <c r="C1135" s="85" t="s">
        <v>39</v>
      </c>
      <c r="D1135" s="176">
        <v>210.71000000000004</v>
      </c>
      <c r="G1135" s="117"/>
      <c r="H1135" s="116"/>
      <c r="I1135" s="116">
        <v>1400</v>
      </c>
      <c r="J1135" s="149"/>
      <c r="K1135" s="119"/>
      <c r="L1135" s="119"/>
      <c r="M1135" s="119"/>
      <c r="N1135" s="119"/>
      <c r="O1135" s="119"/>
      <c r="P1135" s="119"/>
      <c r="Q1135" s="119"/>
      <c r="R1135" s="119"/>
      <c r="S1135" s="119"/>
      <c r="T1135" s="119"/>
      <c r="U1135" s="119"/>
      <c r="V1135" s="119"/>
      <c r="W1135" s="119"/>
      <c r="X1135" s="119"/>
      <c r="Y1135" s="119"/>
      <c r="Z1135" s="119"/>
      <c r="AA1135" s="119"/>
      <c r="AB1135" s="119"/>
      <c r="AC1135" s="119"/>
      <c r="AD1135" s="119">
        <f>1049.29</f>
        <v>1049.29</v>
      </c>
      <c r="AE1135" s="119"/>
      <c r="AF1135" s="119"/>
      <c r="AG1135" s="119"/>
      <c r="AH1135" s="119">
        <v>60</v>
      </c>
      <c r="AI1135" s="119"/>
      <c r="AJ1135" s="119">
        <v>30</v>
      </c>
      <c r="AK1135" s="119"/>
      <c r="AL1135" s="165"/>
      <c r="AM1135" s="57"/>
      <c r="AN1135" s="57"/>
      <c r="AO1135" s="57"/>
      <c r="AP1135" s="57"/>
      <c r="AQ1135" s="57"/>
      <c r="AR1135" s="57">
        <v>50</v>
      </c>
      <c r="AS1135" s="57"/>
      <c r="AT1135" s="57"/>
      <c r="AU1135" s="58">
        <f t="shared" si="17"/>
        <v>210.71000000000004</v>
      </c>
      <c r="AV1135" s="58"/>
    </row>
    <row r="1136" spans="1:48">
      <c r="A1136" s="84">
        <v>1134</v>
      </c>
      <c r="B1136" s="85">
        <v>1966</v>
      </c>
      <c r="C1136" s="85" t="s">
        <v>39</v>
      </c>
      <c r="D1136" s="175">
        <v>175.04999999999995</v>
      </c>
      <c r="G1136" s="117"/>
      <c r="H1136" s="56"/>
      <c r="I1136" s="56">
        <v>1400</v>
      </c>
      <c r="J1136" s="148"/>
      <c r="K1136" s="57"/>
      <c r="L1136" s="57"/>
      <c r="M1136" s="57"/>
      <c r="N1136" s="57"/>
      <c r="O1136" s="57"/>
      <c r="P1136" s="57"/>
      <c r="Q1136" s="57"/>
      <c r="R1136" s="57"/>
      <c r="S1136" s="57"/>
      <c r="T1136" s="57"/>
      <c r="U1136" s="57"/>
      <c r="V1136" s="57"/>
      <c r="W1136" s="57"/>
      <c r="X1136" s="57"/>
      <c r="Y1136" s="57"/>
      <c r="Z1136" s="57"/>
      <c r="AA1136" s="57"/>
      <c r="AB1136" s="57"/>
      <c r="AC1136" s="57"/>
      <c r="AD1136" s="57"/>
      <c r="AE1136" s="57"/>
      <c r="AF1136" s="57"/>
      <c r="AG1136" s="57"/>
      <c r="AH1136" s="57">
        <v>683.7</v>
      </c>
      <c r="AI1136" s="57"/>
      <c r="AJ1136" s="57"/>
      <c r="AK1136" s="57">
        <v>541.25</v>
      </c>
      <c r="AL1136" s="57"/>
      <c r="AM1136" s="57"/>
      <c r="AN1136" s="57"/>
      <c r="AO1136" s="57"/>
      <c r="AP1136" s="57"/>
      <c r="AQ1136" s="57"/>
      <c r="AR1136" s="57"/>
      <c r="AS1136" s="57"/>
      <c r="AT1136" s="57"/>
      <c r="AU1136" s="58">
        <f t="shared" si="17"/>
        <v>175.04999999999995</v>
      </c>
      <c r="AV1136" s="58"/>
    </row>
    <row r="1137" spans="1:48" ht="13.5" customHeight="1">
      <c r="A1137" s="84">
        <v>1135</v>
      </c>
      <c r="B1137" s="85">
        <v>1968</v>
      </c>
      <c r="C1137" s="85" t="s">
        <v>39</v>
      </c>
      <c r="D1137" s="175">
        <v>199</v>
      </c>
      <c r="G1137" s="117"/>
      <c r="H1137" s="56"/>
      <c r="I1137" s="56">
        <v>350</v>
      </c>
      <c r="J1137" s="148"/>
      <c r="K1137" s="57"/>
      <c r="L1137" s="57"/>
      <c r="M1137" s="57"/>
      <c r="N1137" s="57"/>
      <c r="O1137" s="57"/>
      <c r="P1137" s="57"/>
      <c r="Q1137" s="57"/>
      <c r="R1137" s="57"/>
      <c r="S1137" s="57"/>
      <c r="T1137" s="57"/>
      <c r="U1137" s="57"/>
      <c r="V1137" s="57"/>
      <c r="W1137" s="57"/>
      <c r="X1137" s="57"/>
      <c r="Y1137" s="57"/>
      <c r="Z1137" s="57"/>
      <c r="AA1137" s="57"/>
      <c r="AB1137" s="57"/>
      <c r="AC1137" s="57"/>
      <c r="AD1137" s="57"/>
      <c r="AE1137" s="57"/>
      <c r="AF1137" s="57"/>
      <c r="AG1137" s="57"/>
      <c r="AH1137" s="57"/>
      <c r="AI1137" s="57"/>
      <c r="AJ1137" s="57"/>
      <c r="AK1137" s="57">
        <v>151</v>
      </c>
      <c r="AL1137" s="57"/>
      <c r="AM1137" s="57"/>
      <c r="AN1137" s="57"/>
      <c r="AO1137" s="57"/>
      <c r="AP1137" s="57"/>
      <c r="AQ1137" s="57"/>
      <c r="AR1137" s="57"/>
      <c r="AS1137" s="57"/>
      <c r="AT1137" s="57"/>
      <c r="AU1137" s="58">
        <f t="shared" si="17"/>
        <v>199</v>
      </c>
      <c r="AV1137" s="58"/>
    </row>
    <row r="1138" spans="1:48">
      <c r="A1138" s="82">
        <v>1136</v>
      </c>
      <c r="B1138" s="85">
        <v>1977</v>
      </c>
      <c r="C1138" s="85" t="s">
        <v>39</v>
      </c>
      <c r="D1138" s="175">
        <v>-600.30000000000018</v>
      </c>
      <c r="G1138" s="117"/>
      <c r="H1138" s="56"/>
      <c r="I1138" s="56">
        <v>2240</v>
      </c>
      <c r="J1138" s="148"/>
      <c r="K1138" s="57"/>
      <c r="L1138" s="57"/>
      <c r="M1138" s="57"/>
      <c r="N1138" s="57"/>
      <c r="O1138" s="57"/>
      <c r="P1138" s="57"/>
      <c r="Q1138" s="57"/>
      <c r="R1138" s="57"/>
      <c r="S1138" s="57"/>
      <c r="T1138" s="57"/>
      <c r="U1138" s="57"/>
      <c r="V1138" s="57"/>
      <c r="W1138" s="57"/>
      <c r="X1138" s="57"/>
      <c r="Y1138" s="57"/>
      <c r="Z1138" s="57"/>
      <c r="AA1138" s="57"/>
      <c r="AB1138" s="57"/>
      <c r="AC1138" s="57"/>
      <c r="AD1138" s="57"/>
      <c r="AE1138" s="57"/>
      <c r="AF1138" s="57"/>
      <c r="AG1138" s="57"/>
      <c r="AH1138" s="57"/>
      <c r="AI1138" s="57"/>
      <c r="AJ1138" s="57"/>
      <c r="AK1138" s="57">
        <v>2840.3</v>
      </c>
      <c r="AL1138" s="57"/>
      <c r="AM1138" s="57"/>
      <c r="AN1138" s="57"/>
      <c r="AO1138" s="57"/>
      <c r="AP1138" s="57"/>
      <c r="AQ1138" s="57"/>
      <c r="AR1138" s="57"/>
      <c r="AS1138" s="57"/>
      <c r="AT1138" s="57"/>
      <c r="AU1138" s="58">
        <f t="shared" si="17"/>
        <v>-600.30000000000018</v>
      </c>
      <c r="AV1138" s="58"/>
    </row>
    <row r="1139" spans="1:48">
      <c r="A1139" s="84">
        <v>1137</v>
      </c>
      <c r="B1139" s="85">
        <v>1979</v>
      </c>
      <c r="C1139" s="85" t="s">
        <v>39</v>
      </c>
      <c r="D1139" s="175">
        <v>-652.69000000000005</v>
      </c>
      <c r="G1139" s="117"/>
      <c r="H1139" s="56"/>
      <c r="I1139" s="56">
        <v>1400</v>
      </c>
      <c r="J1139" s="148">
        <v>1932.69</v>
      </c>
      <c r="K1139" s="57"/>
      <c r="L1139" s="57"/>
      <c r="M1139" s="57"/>
      <c r="N1139" s="57"/>
      <c r="O1139" s="57"/>
      <c r="P1139" s="57"/>
      <c r="Q1139" s="57"/>
      <c r="R1139" s="57"/>
      <c r="S1139" s="57"/>
      <c r="T1139" s="57"/>
      <c r="U1139" s="57"/>
      <c r="V1139" s="57"/>
      <c r="W1139" s="57"/>
      <c r="X1139" s="57"/>
      <c r="Y1139" s="57"/>
      <c r="Z1139" s="57"/>
      <c r="AA1139" s="57"/>
      <c r="AB1139" s="57"/>
      <c r="AC1139" s="57"/>
      <c r="AD1139" s="57"/>
      <c r="AE1139" s="57"/>
      <c r="AF1139" s="57"/>
      <c r="AG1139" s="57"/>
      <c r="AH1139" s="57"/>
      <c r="AI1139" s="57"/>
      <c r="AJ1139" s="57"/>
      <c r="AK1139" s="57"/>
      <c r="AL1139" s="57"/>
      <c r="AM1139" s="57"/>
      <c r="AN1139" s="57"/>
      <c r="AO1139" s="57">
        <v>120</v>
      </c>
      <c r="AP1139" s="57"/>
      <c r="AQ1139" s="57"/>
      <c r="AR1139" s="57"/>
      <c r="AS1139" s="57"/>
      <c r="AT1139" s="57"/>
      <c r="AU1139" s="58">
        <f t="shared" si="17"/>
        <v>-652.69000000000005</v>
      </c>
      <c r="AV1139" s="58"/>
    </row>
    <row r="1140" spans="1:48">
      <c r="A1140" s="82">
        <v>1138</v>
      </c>
      <c r="B1140" s="85">
        <v>1999</v>
      </c>
      <c r="C1140" s="85" t="s">
        <v>39</v>
      </c>
      <c r="D1140" s="175">
        <v>416.79999999999995</v>
      </c>
      <c r="G1140" s="117"/>
      <c r="H1140" s="56"/>
      <c r="I1140" s="56">
        <v>1400</v>
      </c>
      <c r="J1140" s="148"/>
      <c r="K1140" s="57"/>
      <c r="L1140" s="57"/>
      <c r="M1140" s="57"/>
      <c r="N1140" s="57"/>
      <c r="O1140" s="57"/>
      <c r="P1140" s="57"/>
      <c r="Q1140" s="57"/>
      <c r="R1140" s="57"/>
      <c r="S1140" s="57"/>
      <c r="T1140" s="57"/>
      <c r="U1140" s="57"/>
      <c r="V1140" s="57"/>
      <c r="W1140" s="57"/>
      <c r="X1140" s="57"/>
      <c r="Y1140" s="57"/>
      <c r="Z1140" s="57"/>
      <c r="AA1140" s="57"/>
      <c r="AB1140" s="57"/>
      <c r="AC1140" s="57"/>
      <c r="AD1140" s="57"/>
      <c r="AE1140" s="57"/>
      <c r="AF1140" s="57"/>
      <c r="AG1140" s="57"/>
      <c r="AH1140" s="57"/>
      <c r="AI1140" s="57"/>
      <c r="AJ1140" s="57"/>
      <c r="AK1140" s="57">
        <v>983.2</v>
      </c>
      <c r="AL1140" s="57"/>
      <c r="AM1140" s="57"/>
      <c r="AN1140" s="57"/>
      <c r="AO1140" s="57"/>
      <c r="AP1140" s="57"/>
      <c r="AQ1140" s="57"/>
      <c r="AR1140" s="57"/>
      <c r="AS1140" s="57"/>
      <c r="AT1140" s="57"/>
      <c r="AU1140" s="58">
        <f t="shared" si="17"/>
        <v>416.79999999999995</v>
      </c>
      <c r="AV1140" s="58"/>
    </row>
    <row r="1141" spans="1:48">
      <c r="A1141" s="84">
        <v>1139</v>
      </c>
      <c r="B1141" s="85">
        <v>2000</v>
      </c>
      <c r="C1141" s="85" t="s">
        <v>39</v>
      </c>
      <c r="D1141" s="175">
        <v>395.96</v>
      </c>
      <c r="G1141" s="117"/>
      <c r="H1141" s="56"/>
      <c r="I1141" s="56">
        <v>882</v>
      </c>
      <c r="J1141" s="148"/>
      <c r="K1141" s="57"/>
      <c r="L1141" s="57"/>
      <c r="M1141" s="57"/>
      <c r="N1141" s="57"/>
      <c r="O1141" s="57"/>
      <c r="P1141" s="57"/>
      <c r="Q1141" s="57"/>
      <c r="R1141" s="57"/>
      <c r="S1141" s="57"/>
      <c r="T1141" s="57"/>
      <c r="U1141" s="57"/>
      <c r="V1141" s="57"/>
      <c r="W1141" s="57"/>
      <c r="X1141" s="57"/>
      <c r="Y1141" s="57"/>
      <c r="Z1141" s="57"/>
      <c r="AA1141" s="57"/>
      <c r="AB1141" s="57"/>
      <c r="AC1141" s="57"/>
      <c r="AD1141" s="57"/>
      <c r="AE1141" s="57"/>
      <c r="AF1141" s="57"/>
      <c r="AG1141" s="57"/>
      <c r="AH1141" s="57"/>
      <c r="AI1141" s="57"/>
      <c r="AJ1141" s="57"/>
      <c r="AK1141" s="57"/>
      <c r="AL1141" s="57"/>
      <c r="AM1141" s="57"/>
      <c r="AN1141" s="57"/>
      <c r="AO1141" s="57">
        <v>486.04</v>
      </c>
      <c r="AP1141" s="57"/>
      <c r="AQ1141" s="57"/>
      <c r="AR1141" s="57"/>
      <c r="AS1141" s="57"/>
      <c r="AT1141" s="57"/>
      <c r="AU1141" s="58">
        <f t="shared" si="17"/>
        <v>395.96</v>
      </c>
      <c r="AV1141" s="58"/>
    </row>
    <row r="1142" spans="1:48">
      <c r="A1142" s="84">
        <v>1140</v>
      </c>
      <c r="B1142" s="85">
        <v>2065</v>
      </c>
      <c r="C1142" s="85" t="s">
        <v>39</v>
      </c>
      <c r="D1142" s="175">
        <v>185</v>
      </c>
      <c r="G1142" s="117"/>
      <c r="H1142" s="56"/>
      <c r="I1142" s="56">
        <v>1400</v>
      </c>
      <c r="J1142" s="148"/>
      <c r="K1142" s="57"/>
      <c r="L1142" s="57"/>
      <c r="M1142" s="57"/>
      <c r="N1142" s="57"/>
      <c r="O1142" s="57"/>
      <c r="P1142" s="57"/>
      <c r="Q1142" s="57"/>
      <c r="R1142" s="57"/>
      <c r="S1142" s="57"/>
      <c r="T1142" s="57"/>
      <c r="U1142" s="57"/>
      <c r="V1142" s="57"/>
      <c r="W1142" s="57"/>
      <c r="X1142" s="57"/>
      <c r="Y1142" s="57"/>
      <c r="Z1142" s="57"/>
      <c r="AA1142" s="57"/>
      <c r="AB1142" s="57"/>
      <c r="AC1142" s="57"/>
      <c r="AD1142" s="57"/>
      <c r="AE1142" s="57"/>
      <c r="AF1142" s="57"/>
      <c r="AG1142" s="57"/>
      <c r="AH1142" s="57"/>
      <c r="AI1142" s="57"/>
      <c r="AJ1142" s="57"/>
      <c r="AK1142" s="57"/>
      <c r="AL1142" s="57">
        <v>1215</v>
      </c>
      <c r="AM1142" s="57"/>
      <c r="AN1142" s="57"/>
      <c r="AO1142" s="57"/>
      <c r="AP1142" s="57"/>
      <c r="AQ1142" s="57"/>
      <c r="AR1142" s="57"/>
      <c r="AS1142" s="57"/>
      <c r="AT1142" s="57"/>
      <c r="AU1142" s="58">
        <f t="shared" si="17"/>
        <v>185</v>
      </c>
      <c r="AV1142" s="58"/>
    </row>
    <row r="1143" spans="1:48">
      <c r="A1143" s="82">
        <v>1141</v>
      </c>
      <c r="B1143" s="85">
        <v>2066</v>
      </c>
      <c r="C1143" s="85" t="s">
        <v>39</v>
      </c>
      <c r="D1143" s="175">
        <v>185</v>
      </c>
      <c r="G1143" s="117"/>
      <c r="H1143" s="56"/>
      <c r="I1143" s="56">
        <v>1400</v>
      </c>
      <c r="J1143" s="148"/>
      <c r="K1143" s="57"/>
      <c r="L1143" s="57"/>
      <c r="M1143" s="57"/>
      <c r="N1143" s="57"/>
      <c r="O1143" s="57"/>
      <c r="P1143" s="57"/>
      <c r="Q1143" s="57"/>
      <c r="R1143" s="57"/>
      <c r="S1143" s="57"/>
      <c r="T1143" s="57"/>
      <c r="U1143" s="57"/>
      <c r="V1143" s="57"/>
      <c r="W1143" s="57"/>
      <c r="X1143" s="57"/>
      <c r="Y1143" s="57"/>
      <c r="Z1143" s="57"/>
      <c r="AA1143" s="57"/>
      <c r="AB1143" s="57"/>
      <c r="AC1143" s="57"/>
      <c r="AD1143" s="57"/>
      <c r="AE1143" s="57"/>
      <c r="AF1143" s="57"/>
      <c r="AG1143" s="57"/>
      <c r="AH1143" s="57"/>
      <c r="AI1143" s="57"/>
      <c r="AJ1143" s="57"/>
      <c r="AK1143" s="57"/>
      <c r="AL1143" s="57">
        <v>1215</v>
      </c>
      <c r="AM1143" s="57"/>
      <c r="AN1143" s="57"/>
      <c r="AO1143" s="57"/>
      <c r="AP1143" s="57"/>
      <c r="AQ1143" s="57"/>
      <c r="AR1143" s="57"/>
      <c r="AS1143" s="57"/>
      <c r="AT1143" s="57"/>
      <c r="AU1143" s="58">
        <f t="shared" si="17"/>
        <v>185</v>
      </c>
      <c r="AV1143" s="58"/>
    </row>
    <row r="1144" spans="1:48" s="199" customFormat="1">
      <c r="A1144" s="84">
        <v>1142</v>
      </c>
      <c r="B1144" s="197">
        <v>2087</v>
      </c>
      <c r="C1144" s="197" t="s">
        <v>39</v>
      </c>
      <c r="D1144" s="198">
        <v>-122.5</v>
      </c>
      <c r="G1144" s="211"/>
      <c r="H1144" s="200"/>
      <c r="I1144" s="200">
        <v>1400</v>
      </c>
      <c r="J1144" s="201"/>
      <c r="K1144" s="202"/>
      <c r="L1144" s="202"/>
      <c r="M1144" s="202"/>
      <c r="N1144" s="202"/>
      <c r="O1144" s="202"/>
      <c r="P1144" s="202"/>
      <c r="Q1144" s="202"/>
      <c r="R1144" s="202"/>
      <c r="S1144" s="202"/>
      <c r="T1144" s="202"/>
      <c r="U1144" s="202"/>
      <c r="V1144" s="202"/>
      <c r="W1144" s="202"/>
      <c r="X1144" s="202"/>
      <c r="Y1144" s="202"/>
      <c r="Z1144" s="202"/>
      <c r="AA1144" s="202"/>
      <c r="AB1144" s="202"/>
      <c r="AC1144" s="202"/>
      <c r="AD1144" s="202"/>
      <c r="AE1144" s="202"/>
      <c r="AF1144" s="202"/>
      <c r="AG1144" s="202"/>
      <c r="AH1144" s="202"/>
      <c r="AI1144" s="202"/>
      <c r="AJ1144" s="202"/>
      <c r="AK1144" s="202"/>
      <c r="AL1144" s="202"/>
      <c r="AM1144" s="202"/>
      <c r="AN1144" s="202"/>
      <c r="AO1144" s="202"/>
      <c r="AP1144" s="202">
        <v>1522.5</v>
      </c>
      <c r="AQ1144" s="202"/>
      <c r="AR1144" s="202"/>
      <c r="AS1144" s="202"/>
      <c r="AT1144" s="202"/>
      <c r="AU1144" s="58">
        <f t="shared" si="17"/>
        <v>-122.5</v>
      </c>
      <c r="AV1144" s="203"/>
    </row>
    <row r="1145" spans="1:48">
      <c r="A1145" s="82">
        <v>1143</v>
      </c>
      <c r="B1145" s="85">
        <v>2088</v>
      </c>
      <c r="C1145" s="85" t="s">
        <v>39</v>
      </c>
      <c r="D1145" s="175">
        <v>911.09999999999991</v>
      </c>
      <c r="G1145" s="117"/>
      <c r="H1145" s="56"/>
      <c r="I1145" s="56">
        <v>2000</v>
      </c>
      <c r="J1145" s="148"/>
      <c r="K1145" s="57"/>
      <c r="L1145" s="57"/>
      <c r="M1145" s="57"/>
      <c r="N1145" s="57"/>
      <c r="O1145" s="57"/>
      <c r="P1145" s="57"/>
      <c r="Q1145" s="57"/>
      <c r="R1145" s="57"/>
      <c r="S1145" s="57"/>
      <c r="T1145" s="57"/>
      <c r="U1145" s="57"/>
      <c r="V1145" s="57"/>
      <c r="W1145" s="57"/>
      <c r="X1145" s="57"/>
      <c r="Y1145" s="57"/>
      <c r="Z1145" s="57"/>
      <c r="AA1145" s="57"/>
      <c r="AB1145" s="57"/>
      <c r="AC1145" s="57"/>
      <c r="AD1145" s="57"/>
      <c r="AE1145" s="57"/>
      <c r="AF1145" s="57"/>
      <c r="AG1145" s="57"/>
      <c r="AH1145" s="57"/>
      <c r="AI1145" s="57"/>
      <c r="AJ1145" s="57"/>
      <c r="AK1145" s="57"/>
      <c r="AL1145" s="57"/>
      <c r="AM1145" s="57"/>
      <c r="AN1145" s="57">
        <v>888.9</v>
      </c>
      <c r="AO1145" s="57"/>
      <c r="AP1145" s="57"/>
      <c r="AQ1145" s="57"/>
      <c r="AR1145" s="57"/>
      <c r="AS1145" s="57"/>
      <c r="AT1145" s="57">
        <v>200</v>
      </c>
      <c r="AU1145" s="58">
        <f t="shared" si="17"/>
        <v>911.09999999999991</v>
      </c>
      <c r="AV1145" s="58"/>
    </row>
    <row r="1146" spans="1:48">
      <c r="A1146" s="84">
        <v>1144</v>
      </c>
      <c r="B1146" s="85">
        <v>2096</v>
      </c>
      <c r="C1146" s="85" t="s">
        <v>39</v>
      </c>
      <c r="D1146" s="175">
        <v>770</v>
      </c>
      <c r="G1146" s="117"/>
      <c r="H1146" s="56"/>
      <c r="I1146" s="56">
        <v>1400</v>
      </c>
      <c r="J1146" s="148"/>
      <c r="K1146" s="57"/>
      <c r="L1146" s="57"/>
      <c r="M1146" s="57"/>
      <c r="N1146" s="57"/>
      <c r="O1146" s="57"/>
      <c r="P1146" s="57"/>
      <c r="Q1146" s="57"/>
      <c r="R1146" s="57"/>
      <c r="S1146" s="57"/>
      <c r="T1146" s="57"/>
      <c r="U1146" s="57"/>
      <c r="V1146" s="57"/>
      <c r="W1146" s="57"/>
      <c r="X1146" s="57"/>
      <c r="Y1146" s="57"/>
      <c r="Z1146" s="57"/>
      <c r="AA1146" s="57"/>
      <c r="AB1146" s="57"/>
      <c r="AC1146" s="57"/>
      <c r="AD1146" s="57"/>
      <c r="AE1146" s="57"/>
      <c r="AF1146" s="57"/>
      <c r="AG1146" s="57"/>
      <c r="AH1146" s="57"/>
      <c r="AI1146" s="57"/>
      <c r="AJ1146" s="57"/>
      <c r="AK1146" s="57"/>
      <c r="AL1146" s="57"/>
      <c r="AM1146" s="57">
        <v>630</v>
      </c>
      <c r="AN1146" s="57"/>
      <c r="AO1146" s="57"/>
      <c r="AP1146" s="57"/>
      <c r="AQ1146" s="57"/>
      <c r="AR1146" s="57"/>
      <c r="AS1146" s="57"/>
      <c r="AT1146" s="57"/>
      <c r="AU1146" s="58">
        <f t="shared" si="17"/>
        <v>770</v>
      </c>
      <c r="AV1146" s="58"/>
    </row>
    <row r="1147" spans="1:48">
      <c r="A1147" s="84">
        <v>1145</v>
      </c>
      <c r="B1147" s="85">
        <v>2098</v>
      </c>
      <c r="C1147" s="85" t="s">
        <v>39</v>
      </c>
      <c r="D1147" s="175">
        <v>-22</v>
      </c>
      <c r="G1147" s="117"/>
      <c r="H1147" s="56"/>
      <c r="I1147" s="56">
        <v>128</v>
      </c>
      <c r="J1147" s="148"/>
      <c r="K1147" s="57"/>
      <c r="L1147" s="57"/>
      <c r="M1147" s="57"/>
      <c r="N1147" s="57"/>
      <c r="O1147" s="57"/>
      <c r="P1147" s="57"/>
      <c r="Q1147" s="57"/>
      <c r="R1147" s="57"/>
      <c r="S1147" s="57"/>
      <c r="T1147" s="57"/>
      <c r="U1147" s="57"/>
      <c r="V1147" s="57"/>
      <c r="W1147" s="57"/>
      <c r="X1147" s="57"/>
      <c r="Y1147" s="57"/>
      <c r="Z1147" s="57"/>
      <c r="AA1147" s="57"/>
      <c r="AB1147" s="57"/>
      <c r="AC1147" s="57"/>
      <c r="AD1147" s="57"/>
      <c r="AE1147" s="57"/>
      <c r="AF1147" s="57"/>
      <c r="AG1147" s="57"/>
      <c r="AH1147" s="57"/>
      <c r="AI1147" s="57"/>
      <c r="AJ1147" s="57"/>
      <c r="AK1147" s="57"/>
      <c r="AL1147" s="57"/>
      <c r="AM1147" s="57">
        <v>150</v>
      </c>
      <c r="AN1147" s="57"/>
      <c r="AO1147" s="57"/>
      <c r="AP1147" s="57"/>
      <c r="AQ1147" s="57"/>
      <c r="AR1147" s="57"/>
      <c r="AS1147" s="57"/>
      <c r="AT1147" s="57"/>
      <c r="AU1147" s="58">
        <f t="shared" si="17"/>
        <v>-22</v>
      </c>
      <c r="AV1147" s="58"/>
    </row>
    <row r="1148" spans="1:48">
      <c r="A1148" s="82">
        <v>1146</v>
      </c>
      <c r="B1148" s="85">
        <v>2099</v>
      </c>
      <c r="C1148" s="85" t="s">
        <v>39</v>
      </c>
      <c r="D1148" s="175">
        <v>533.86</v>
      </c>
      <c r="G1148" s="117"/>
      <c r="H1148" s="56"/>
      <c r="I1148" s="56">
        <v>882</v>
      </c>
      <c r="J1148" s="148"/>
      <c r="K1148" s="57"/>
      <c r="L1148" s="57"/>
      <c r="M1148" s="57"/>
      <c r="N1148" s="57"/>
      <c r="O1148" s="57"/>
      <c r="P1148" s="57"/>
      <c r="Q1148" s="57"/>
      <c r="R1148" s="57"/>
      <c r="S1148" s="57"/>
      <c r="T1148" s="57"/>
      <c r="U1148" s="57"/>
      <c r="V1148" s="57"/>
      <c r="W1148" s="57"/>
      <c r="X1148" s="57"/>
      <c r="Y1148" s="57"/>
      <c r="Z1148" s="57"/>
      <c r="AA1148" s="57"/>
      <c r="AB1148" s="57"/>
      <c r="AC1148" s="57"/>
      <c r="AD1148" s="57"/>
      <c r="AE1148" s="57"/>
      <c r="AF1148" s="57"/>
      <c r="AG1148" s="57"/>
      <c r="AH1148" s="57"/>
      <c r="AI1148" s="57"/>
      <c r="AJ1148" s="57"/>
      <c r="AK1148" s="57"/>
      <c r="AL1148" s="57"/>
      <c r="AM1148" s="57">
        <v>348.14</v>
      </c>
      <c r="AN1148" s="57"/>
      <c r="AO1148" s="57"/>
      <c r="AP1148" s="57"/>
      <c r="AQ1148" s="57"/>
      <c r="AR1148" s="57"/>
      <c r="AS1148" s="57"/>
      <c r="AT1148" s="57"/>
      <c r="AU1148" s="58">
        <f t="shared" si="17"/>
        <v>533.86</v>
      </c>
      <c r="AV1148" s="58"/>
    </row>
    <row r="1149" spans="1:48">
      <c r="A1149" s="82">
        <v>1147</v>
      </c>
      <c r="B1149" s="220">
        <v>2123</v>
      </c>
      <c r="C1149" s="220" t="s">
        <v>39</v>
      </c>
      <c r="D1149" s="221">
        <v>-122</v>
      </c>
      <c r="E1149" s="167"/>
      <c r="F1149" s="167"/>
      <c r="G1149" s="253"/>
      <c r="H1149" s="166"/>
      <c r="I1149" s="166">
        <v>128</v>
      </c>
      <c r="J1149" s="222">
        <v>150</v>
      </c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  <c r="U1149" s="168"/>
      <c r="V1149" s="168"/>
      <c r="W1149" s="168"/>
      <c r="X1149" s="168"/>
      <c r="Y1149" s="168"/>
      <c r="Z1149" s="168"/>
      <c r="AA1149" s="168"/>
      <c r="AB1149" s="168"/>
      <c r="AC1149" s="168"/>
      <c r="AD1149" s="168"/>
      <c r="AE1149" s="168"/>
      <c r="AF1149" s="168"/>
      <c r="AG1149" s="168"/>
      <c r="AH1149" s="168"/>
      <c r="AI1149" s="168"/>
      <c r="AJ1149" s="168"/>
      <c r="AK1149" s="168"/>
      <c r="AL1149" s="168"/>
      <c r="AM1149" s="168"/>
      <c r="AN1149" s="168"/>
      <c r="AO1149" s="168"/>
      <c r="AP1149" s="168"/>
      <c r="AQ1149" s="168"/>
      <c r="AR1149" s="168"/>
      <c r="AS1149" s="168"/>
      <c r="AT1149" s="168">
        <v>100</v>
      </c>
      <c r="AU1149" s="58">
        <f t="shared" si="17"/>
        <v>-122</v>
      </c>
      <c r="AV1149" s="58"/>
    </row>
    <row r="1150" spans="1:48">
      <c r="A1150" s="84">
        <v>1148</v>
      </c>
      <c r="B1150" s="85">
        <v>2125</v>
      </c>
      <c r="C1150" s="85" t="s">
        <v>39</v>
      </c>
      <c r="D1150" s="175">
        <v>5.9400000000000546</v>
      </c>
      <c r="G1150" s="117"/>
      <c r="H1150" s="56"/>
      <c r="I1150" s="56">
        <v>1400</v>
      </c>
      <c r="J1150" s="148">
        <v>0</v>
      </c>
      <c r="K1150" s="57"/>
      <c r="L1150" s="57"/>
      <c r="M1150" s="57"/>
      <c r="N1150" s="57"/>
      <c r="O1150" s="57"/>
      <c r="P1150" s="57"/>
      <c r="Q1150" s="57"/>
      <c r="R1150" s="57"/>
      <c r="S1150" s="57"/>
      <c r="T1150" s="57"/>
      <c r="U1150" s="57"/>
      <c r="V1150" s="57"/>
      <c r="W1150" s="57"/>
      <c r="X1150" s="57"/>
      <c r="Y1150" s="57"/>
      <c r="Z1150" s="57"/>
      <c r="AA1150" s="57"/>
      <c r="AB1150" s="57"/>
      <c r="AC1150" s="57"/>
      <c r="AD1150" s="57"/>
      <c r="AE1150" s="57"/>
      <c r="AF1150" s="57"/>
      <c r="AG1150" s="57"/>
      <c r="AH1150" s="57"/>
      <c r="AI1150" s="57"/>
      <c r="AJ1150" s="57"/>
      <c r="AK1150" s="57"/>
      <c r="AL1150" s="57"/>
      <c r="AM1150" s="57"/>
      <c r="AN1150" s="57"/>
      <c r="AO1150" s="57"/>
      <c r="AP1150" s="57"/>
      <c r="AQ1150" s="57">
        <v>1394.06</v>
      </c>
      <c r="AR1150" s="57"/>
      <c r="AS1150" s="57"/>
      <c r="AT1150" s="57"/>
      <c r="AU1150" s="58">
        <f t="shared" si="17"/>
        <v>5.9400000000000546</v>
      </c>
      <c r="AV1150" s="58"/>
    </row>
    <row r="1151" spans="1:48">
      <c r="A1151" s="251">
        <v>1149</v>
      </c>
      <c r="B1151" s="220">
        <v>2132</v>
      </c>
      <c r="C1151" s="220" t="s">
        <v>39</v>
      </c>
      <c r="D1151" s="221">
        <v>0</v>
      </c>
      <c r="E1151" s="167"/>
      <c r="F1151" s="167"/>
      <c r="G1151" s="253"/>
      <c r="H1151" s="166"/>
      <c r="I1151" s="166">
        <v>1400</v>
      </c>
      <c r="J1151" s="222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  <c r="U1151" s="168"/>
      <c r="V1151" s="168"/>
      <c r="W1151" s="168"/>
      <c r="X1151" s="168"/>
      <c r="Y1151" s="168"/>
      <c r="Z1151" s="168"/>
      <c r="AA1151" s="168"/>
      <c r="AB1151" s="168"/>
      <c r="AC1151" s="168"/>
      <c r="AD1151" s="168"/>
      <c r="AE1151" s="168"/>
      <c r="AF1151" s="168"/>
      <c r="AG1151" s="168"/>
      <c r="AH1151" s="168"/>
      <c r="AI1151" s="168"/>
      <c r="AJ1151" s="168"/>
      <c r="AK1151" s="168"/>
      <c r="AL1151" s="168"/>
      <c r="AM1151" s="168"/>
      <c r="AN1151" s="168"/>
      <c r="AO1151" s="168"/>
      <c r="AP1151" s="168"/>
      <c r="AQ1151" s="168"/>
      <c r="AR1151" s="168"/>
      <c r="AS1151" s="168"/>
      <c r="AT1151" s="168">
        <v>1400</v>
      </c>
      <c r="AU1151" s="58">
        <f t="shared" si="17"/>
        <v>0</v>
      </c>
      <c r="AV1151" s="58"/>
    </row>
    <row r="1152" spans="1:48">
      <c r="A1152" s="82">
        <v>1150</v>
      </c>
      <c r="B1152" s="85">
        <v>2137</v>
      </c>
      <c r="C1152" s="85" t="s">
        <v>39</v>
      </c>
      <c r="D1152" s="175">
        <v>201.64999999999998</v>
      </c>
      <c r="G1152" s="117"/>
      <c r="H1152" s="56"/>
      <c r="I1152" s="56">
        <v>560</v>
      </c>
      <c r="J1152" s="148"/>
      <c r="K1152" s="57"/>
      <c r="L1152" s="57"/>
      <c r="M1152" s="57"/>
      <c r="N1152" s="57"/>
      <c r="O1152" s="57"/>
      <c r="P1152" s="57"/>
      <c r="Q1152" s="57"/>
      <c r="R1152" s="57"/>
      <c r="S1152" s="57"/>
      <c r="T1152" s="57"/>
      <c r="U1152" s="57"/>
      <c r="V1152" s="57"/>
      <c r="W1152" s="57"/>
      <c r="X1152" s="57"/>
      <c r="Y1152" s="57"/>
      <c r="Z1152" s="57"/>
      <c r="AA1152" s="57"/>
      <c r="AB1152" s="57"/>
      <c r="AC1152" s="57"/>
      <c r="AD1152" s="57"/>
      <c r="AE1152" s="57"/>
      <c r="AF1152" s="57"/>
      <c r="AG1152" s="57"/>
      <c r="AH1152" s="57"/>
      <c r="AI1152" s="57"/>
      <c r="AJ1152" s="57"/>
      <c r="AK1152" s="57"/>
      <c r="AL1152" s="57"/>
      <c r="AM1152" s="57"/>
      <c r="AN1152" s="57"/>
      <c r="AO1152" s="57"/>
      <c r="AP1152" s="57">
        <v>358.35</v>
      </c>
      <c r="AQ1152" s="57"/>
      <c r="AR1152" s="57"/>
      <c r="AS1152" s="57"/>
      <c r="AT1152" s="57"/>
      <c r="AU1152" s="58">
        <f t="shared" si="17"/>
        <v>201.64999999999998</v>
      </c>
      <c r="AV1152" s="58"/>
    </row>
    <row r="1153" spans="1:48">
      <c r="A1153" s="84">
        <v>1151</v>
      </c>
      <c r="B1153" s="85">
        <v>2143</v>
      </c>
      <c r="C1153" s="85" t="s">
        <v>39</v>
      </c>
      <c r="D1153" s="175">
        <v>1250</v>
      </c>
      <c r="G1153" s="117"/>
      <c r="H1153" s="56"/>
      <c r="I1153" s="56">
        <v>1400</v>
      </c>
      <c r="J1153" s="148"/>
      <c r="K1153" s="57"/>
      <c r="L1153" s="57"/>
      <c r="M1153" s="57"/>
      <c r="N1153" s="57"/>
      <c r="O1153" s="57"/>
      <c r="P1153" s="57"/>
      <c r="Q1153" s="57"/>
      <c r="R1153" s="57"/>
      <c r="S1153" s="57"/>
      <c r="T1153" s="57"/>
      <c r="U1153" s="57"/>
      <c r="V1153" s="57"/>
      <c r="W1153" s="57"/>
      <c r="X1153" s="57"/>
      <c r="Y1153" s="57"/>
      <c r="Z1153" s="57"/>
      <c r="AA1153" s="57"/>
      <c r="AB1153" s="57"/>
      <c r="AC1153" s="57"/>
      <c r="AD1153" s="57"/>
      <c r="AE1153" s="57"/>
      <c r="AF1153" s="57"/>
      <c r="AG1153" s="57"/>
      <c r="AH1153" s="57"/>
      <c r="AI1153" s="57"/>
      <c r="AJ1153" s="57"/>
      <c r="AK1153" s="57"/>
      <c r="AL1153" s="57"/>
      <c r="AM1153" s="57"/>
      <c r="AN1153" s="57"/>
      <c r="AO1153" s="57"/>
      <c r="AP1153" s="57">
        <v>150</v>
      </c>
      <c r="AQ1153" s="57"/>
      <c r="AR1153" s="57"/>
      <c r="AS1153" s="57"/>
      <c r="AT1153" s="57"/>
      <c r="AU1153" s="58">
        <f t="shared" si="17"/>
        <v>1250</v>
      </c>
      <c r="AV1153" s="58"/>
    </row>
    <row r="1154" spans="1:48">
      <c r="A1154" s="84">
        <v>1152</v>
      </c>
      <c r="B1154" s="85">
        <v>2177</v>
      </c>
      <c r="C1154" s="85" t="s">
        <v>39</v>
      </c>
      <c r="D1154" s="175">
        <v>173.29999999999995</v>
      </c>
      <c r="G1154" s="117"/>
      <c r="H1154" s="56"/>
      <c r="I1154" s="56">
        <v>882</v>
      </c>
      <c r="J1154" s="148">
        <v>0</v>
      </c>
      <c r="K1154" s="57"/>
      <c r="L1154" s="57"/>
      <c r="M1154" s="57"/>
      <c r="N1154" s="57"/>
      <c r="O1154" s="57"/>
      <c r="P1154" s="57"/>
      <c r="Q1154" s="57"/>
      <c r="R1154" s="57"/>
      <c r="S1154" s="57"/>
      <c r="T1154" s="57"/>
      <c r="U1154" s="57"/>
      <c r="V1154" s="57"/>
      <c r="W1154" s="57"/>
      <c r="X1154" s="57"/>
      <c r="Y1154" s="57"/>
      <c r="Z1154" s="57"/>
      <c r="AA1154" s="57"/>
      <c r="AB1154" s="57"/>
      <c r="AC1154" s="57"/>
      <c r="AD1154" s="57"/>
      <c r="AE1154" s="57"/>
      <c r="AF1154" s="57"/>
      <c r="AG1154" s="57"/>
      <c r="AH1154" s="57"/>
      <c r="AI1154" s="57"/>
      <c r="AJ1154" s="57"/>
      <c r="AK1154" s="57"/>
      <c r="AL1154" s="57"/>
      <c r="AM1154" s="57"/>
      <c r="AN1154" s="57"/>
      <c r="AO1154" s="57"/>
      <c r="AP1154" s="57"/>
      <c r="AQ1154" s="57">
        <v>533.70000000000005</v>
      </c>
      <c r="AR1154" s="57"/>
      <c r="AS1154" s="57">
        <v>175</v>
      </c>
      <c r="AT1154" s="57"/>
      <c r="AU1154" s="58">
        <f t="shared" si="17"/>
        <v>173.29999999999995</v>
      </c>
      <c r="AV1154" s="58"/>
    </row>
    <row r="1155" spans="1:48">
      <c r="A1155" s="82">
        <v>1153</v>
      </c>
      <c r="B1155" s="85">
        <v>2181</v>
      </c>
      <c r="C1155" s="85" t="s">
        <v>39</v>
      </c>
      <c r="D1155" s="175">
        <v>309.5</v>
      </c>
      <c r="G1155" s="117"/>
      <c r="H1155" s="56"/>
      <c r="I1155" s="56">
        <v>560</v>
      </c>
      <c r="J1155" s="148">
        <v>0</v>
      </c>
      <c r="K1155" s="57"/>
      <c r="L1155" s="57"/>
      <c r="M1155" s="57"/>
      <c r="N1155" s="57"/>
      <c r="O1155" s="57"/>
      <c r="P1155" s="57"/>
      <c r="Q1155" s="57"/>
      <c r="R1155" s="57"/>
      <c r="S1155" s="57"/>
      <c r="T1155" s="57"/>
      <c r="U1155" s="57"/>
      <c r="V1155" s="57"/>
      <c r="W1155" s="57"/>
      <c r="X1155" s="57"/>
      <c r="Y1155" s="57"/>
      <c r="Z1155" s="57"/>
      <c r="AA1155" s="57"/>
      <c r="AB1155" s="57"/>
      <c r="AC1155" s="57"/>
      <c r="AD1155" s="57"/>
      <c r="AE1155" s="57"/>
      <c r="AF1155" s="57"/>
      <c r="AG1155" s="57"/>
      <c r="AH1155" s="57"/>
      <c r="AI1155" s="57"/>
      <c r="AJ1155" s="57"/>
      <c r="AK1155" s="57"/>
      <c r="AL1155" s="57"/>
      <c r="AM1155" s="57"/>
      <c r="AN1155" s="57"/>
      <c r="AO1155" s="57"/>
      <c r="AP1155" s="57"/>
      <c r="AQ1155" s="57">
        <v>250.5</v>
      </c>
      <c r="AR1155" s="57"/>
      <c r="AS1155" s="57"/>
      <c r="AT1155" s="57"/>
      <c r="AU1155" s="58">
        <f t="shared" si="17"/>
        <v>309.5</v>
      </c>
      <c r="AV1155" s="58"/>
    </row>
    <row r="1156" spans="1:48">
      <c r="A1156" s="82">
        <v>1154</v>
      </c>
      <c r="B1156" s="204">
        <v>2198</v>
      </c>
      <c r="C1156" s="204" t="s">
        <v>39</v>
      </c>
      <c r="D1156" s="205">
        <v>208.57</v>
      </c>
      <c r="E1156" s="206"/>
      <c r="F1156" s="206"/>
      <c r="G1156" s="236"/>
      <c r="H1156" s="207"/>
      <c r="I1156" s="207">
        <v>560</v>
      </c>
      <c r="J1156" s="208"/>
      <c r="K1156" s="209"/>
      <c r="L1156" s="209"/>
      <c r="M1156" s="209"/>
      <c r="N1156" s="209"/>
      <c r="O1156" s="209"/>
      <c r="P1156" s="209"/>
      <c r="Q1156" s="209"/>
      <c r="R1156" s="209"/>
      <c r="S1156" s="209"/>
      <c r="T1156" s="209"/>
      <c r="U1156" s="209"/>
      <c r="V1156" s="209"/>
      <c r="W1156" s="209"/>
      <c r="X1156" s="209"/>
      <c r="Y1156" s="209"/>
      <c r="Z1156" s="209"/>
      <c r="AA1156" s="209"/>
      <c r="AB1156" s="209"/>
      <c r="AC1156" s="209"/>
      <c r="AD1156" s="209"/>
      <c r="AE1156" s="209"/>
      <c r="AF1156" s="209"/>
      <c r="AG1156" s="209"/>
      <c r="AH1156" s="209"/>
      <c r="AI1156" s="209"/>
      <c r="AJ1156" s="209"/>
      <c r="AK1156" s="209"/>
      <c r="AL1156" s="209"/>
      <c r="AM1156" s="209"/>
      <c r="AN1156" s="209"/>
      <c r="AO1156" s="209"/>
      <c r="AP1156" s="209"/>
      <c r="AQ1156" s="209"/>
      <c r="AR1156" s="209"/>
      <c r="AS1156" s="209">
        <v>351.43</v>
      </c>
      <c r="AT1156" s="209"/>
      <c r="AU1156" s="58">
        <f t="shared" ref="AU1156:AU1159" si="18">I1156-J1156-K1156-L1156-M1156-N1156-O1156-P1156-Q1156-R1156-S1156-T1156-U1156-V1156-W1156-X1156-Y1156-Z1156-AA1156-AB1156-AC1156-AD1156-AE1156-AF1156-AG1156-AH1156-AI1156-AJ1156-AK1156-AL1156-AM1156-AN1156-AO1156-AP1156-AQ1156-AR1156-AS1156-AT1156</f>
        <v>208.57</v>
      </c>
      <c r="AV1156" s="58"/>
    </row>
    <row r="1157" spans="1:48">
      <c r="A1157" s="84">
        <v>1155</v>
      </c>
      <c r="B1157" s="85">
        <v>2218</v>
      </c>
      <c r="C1157" s="85" t="s">
        <v>39</v>
      </c>
      <c r="D1157" s="175">
        <v>652.5</v>
      </c>
      <c r="G1157" s="117"/>
      <c r="H1157" s="56"/>
      <c r="I1157" s="56">
        <v>1400</v>
      </c>
      <c r="J1157" s="148">
        <v>0</v>
      </c>
      <c r="K1157" s="57"/>
      <c r="L1157" s="57"/>
      <c r="M1157" s="57"/>
      <c r="N1157" s="57"/>
      <c r="O1157" s="57"/>
      <c r="P1157" s="57"/>
      <c r="Q1157" s="57"/>
      <c r="R1157" s="57"/>
      <c r="S1157" s="57"/>
      <c r="T1157" s="57"/>
      <c r="U1157" s="57"/>
      <c r="V1157" s="57"/>
      <c r="W1157" s="57"/>
      <c r="X1157" s="57"/>
      <c r="Y1157" s="57"/>
      <c r="Z1157" s="57"/>
      <c r="AA1157" s="57"/>
      <c r="AB1157" s="57"/>
      <c r="AC1157" s="57"/>
      <c r="AD1157" s="57"/>
      <c r="AE1157" s="57"/>
      <c r="AF1157" s="57"/>
      <c r="AG1157" s="57"/>
      <c r="AH1157" s="57"/>
      <c r="AI1157" s="57"/>
      <c r="AJ1157" s="57"/>
      <c r="AK1157" s="57"/>
      <c r="AL1157" s="57"/>
      <c r="AM1157" s="57"/>
      <c r="AN1157" s="57"/>
      <c r="AO1157" s="57"/>
      <c r="AP1157" s="57"/>
      <c r="AQ1157" s="57"/>
      <c r="AR1157" s="57">
        <v>747.5</v>
      </c>
      <c r="AS1157" s="57"/>
      <c r="AT1157" s="57"/>
      <c r="AU1157" s="58">
        <f t="shared" si="18"/>
        <v>652.5</v>
      </c>
      <c r="AV1157" s="58"/>
    </row>
    <row r="1158" spans="1:48">
      <c r="A1158" s="252">
        <v>1156</v>
      </c>
      <c r="B1158" s="220">
        <v>2269</v>
      </c>
      <c r="C1158" s="220" t="s">
        <v>39</v>
      </c>
      <c r="D1158" s="221">
        <v>391.6</v>
      </c>
      <c r="E1158" s="167"/>
      <c r="F1158" s="167"/>
      <c r="G1158" s="253"/>
      <c r="H1158" s="166"/>
      <c r="I1158" s="166">
        <v>882</v>
      </c>
      <c r="J1158" s="222">
        <v>0</v>
      </c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  <c r="U1158" s="168"/>
      <c r="V1158" s="168"/>
      <c r="W1158" s="168"/>
      <c r="X1158" s="168"/>
      <c r="Y1158" s="168"/>
      <c r="Z1158" s="168"/>
      <c r="AA1158" s="168"/>
      <c r="AB1158" s="168"/>
      <c r="AC1158" s="168"/>
      <c r="AD1158" s="168"/>
      <c r="AE1158" s="168"/>
      <c r="AF1158" s="168"/>
      <c r="AG1158" s="168"/>
      <c r="AH1158" s="168"/>
      <c r="AI1158" s="168"/>
      <c r="AJ1158" s="168"/>
      <c r="AK1158" s="168"/>
      <c r="AL1158" s="168"/>
      <c r="AM1158" s="168"/>
      <c r="AN1158" s="168"/>
      <c r="AO1158" s="168"/>
      <c r="AP1158" s="168"/>
      <c r="AQ1158" s="168"/>
      <c r="AR1158" s="168"/>
      <c r="AS1158" s="168"/>
      <c r="AT1158" s="168">
        <v>490.4</v>
      </c>
      <c r="AU1158" s="58">
        <f t="shared" si="18"/>
        <v>391.6</v>
      </c>
      <c r="AV1158" s="58"/>
    </row>
    <row r="1159" spans="1:48">
      <c r="A1159" s="252">
        <v>1157</v>
      </c>
      <c r="B1159" s="220">
        <v>2280</v>
      </c>
      <c r="C1159" s="220" t="s">
        <v>39</v>
      </c>
      <c r="D1159" s="221">
        <v>20.399999999999999</v>
      </c>
      <c r="E1159" s="167"/>
      <c r="F1159" s="167"/>
      <c r="G1159" s="253"/>
      <c r="H1159" s="166"/>
      <c r="I1159" s="166">
        <v>50.4</v>
      </c>
      <c r="J1159" s="222">
        <v>0</v>
      </c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  <c r="U1159" s="168"/>
      <c r="V1159" s="168"/>
      <c r="W1159" s="168"/>
      <c r="X1159" s="168"/>
      <c r="Y1159" s="168"/>
      <c r="Z1159" s="168"/>
      <c r="AA1159" s="168"/>
      <c r="AB1159" s="168"/>
      <c r="AC1159" s="168"/>
      <c r="AD1159" s="168"/>
      <c r="AE1159" s="168"/>
      <c r="AF1159" s="168"/>
      <c r="AG1159" s="168"/>
      <c r="AH1159" s="168"/>
      <c r="AI1159" s="168"/>
      <c r="AJ1159" s="168"/>
      <c r="AK1159" s="168"/>
      <c r="AL1159" s="168"/>
      <c r="AM1159" s="168"/>
      <c r="AN1159" s="168"/>
      <c r="AO1159" s="168"/>
      <c r="AP1159" s="168"/>
      <c r="AQ1159" s="168"/>
      <c r="AR1159" s="168"/>
      <c r="AS1159" s="168"/>
      <c r="AT1159" s="168">
        <v>30</v>
      </c>
      <c r="AU1159" s="58">
        <f t="shared" si="18"/>
        <v>20.399999999999999</v>
      </c>
      <c r="AV1159" s="58"/>
    </row>
    <row r="1160" spans="1:48">
      <c r="B1160" s="170"/>
      <c r="C1160" s="171"/>
      <c r="D1160" s="179"/>
      <c r="E1160"/>
      <c r="F1160"/>
      <c r="G1160"/>
      <c r="H1160" s="160"/>
      <c r="I1160" s="160"/>
      <c r="J1160" s="160"/>
      <c r="K1160" s="160"/>
      <c r="L1160" s="160"/>
      <c r="M1160" s="160"/>
      <c r="N1160" s="160"/>
      <c r="O1160" s="160"/>
      <c r="P1160" s="160"/>
      <c r="Q1160" s="160"/>
      <c r="R1160" s="160"/>
      <c r="S1160" s="160"/>
      <c r="T1160" s="160"/>
      <c r="U1160" s="160"/>
      <c r="V1160" s="160"/>
      <c r="W1160" s="160"/>
      <c r="X1160" s="160"/>
      <c r="Y1160" s="160"/>
      <c r="Z1160" s="160"/>
      <c r="AA1160" s="160"/>
      <c r="AB1160" s="160"/>
      <c r="AC1160" s="160"/>
      <c r="AD1160" s="160"/>
      <c r="AE1160" s="160"/>
      <c r="AF1160" s="160"/>
      <c r="AG1160" s="160"/>
      <c r="AH1160" s="160"/>
      <c r="AI1160" s="160"/>
      <c r="AJ1160" s="160"/>
      <c r="AK1160" s="160"/>
      <c r="AL1160" s="160"/>
      <c r="AM1160" s="160"/>
      <c r="AN1160" s="160"/>
      <c r="AO1160" s="160"/>
      <c r="AP1160" s="160"/>
      <c r="AQ1160" s="160"/>
      <c r="AR1160" s="160"/>
      <c r="AS1160" s="160"/>
      <c r="AT1160" s="160"/>
    </row>
    <row r="1161" spans="1:48">
      <c r="B1161" s="170"/>
      <c r="C1161" s="171"/>
      <c r="D1161" s="179"/>
      <c r="E1161"/>
      <c r="F1161"/>
      <c r="G1161"/>
      <c r="H1161" s="160"/>
      <c r="I1161" s="160"/>
      <c r="J1161" s="160"/>
      <c r="K1161" s="160"/>
      <c r="L1161" s="160"/>
      <c r="M1161" s="160"/>
      <c r="N1161" s="160"/>
      <c r="O1161" s="160"/>
      <c r="P1161" s="160"/>
      <c r="Q1161" s="160"/>
      <c r="R1161" s="160"/>
      <c r="S1161" s="160"/>
      <c r="T1161" s="160"/>
      <c r="U1161" s="160"/>
      <c r="V1161" s="160"/>
      <c r="W1161" s="160"/>
      <c r="X1161" s="160"/>
      <c r="Y1161" s="160"/>
      <c r="Z1161" s="160"/>
      <c r="AA1161" s="160"/>
      <c r="AB1161" s="160"/>
      <c r="AC1161" s="160"/>
      <c r="AD1161" s="160"/>
      <c r="AE1161" s="160"/>
      <c r="AF1161" s="160"/>
      <c r="AG1161" s="160"/>
      <c r="AH1161" s="160"/>
      <c r="AI1161" s="160"/>
      <c r="AJ1161" s="160"/>
      <c r="AK1161" s="160"/>
      <c r="AL1161" s="160"/>
      <c r="AM1161" s="160"/>
      <c r="AN1161" s="160"/>
      <c r="AO1161" s="160"/>
      <c r="AP1161" s="160"/>
      <c r="AQ1161" s="160"/>
      <c r="AR1161" s="160"/>
      <c r="AS1161" s="160"/>
      <c r="AT1161" s="160"/>
    </row>
    <row r="1162" spans="1:48">
      <c r="B1162" s="170"/>
      <c r="C1162" s="171"/>
      <c r="D1162" s="179"/>
      <c r="E1162"/>
      <c r="F1162"/>
      <c r="G1162"/>
      <c r="H1162" s="160"/>
      <c r="I1162" s="160"/>
      <c r="J1162" s="160"/>
      <c r="K1162" s="160"/>
      <c r="L1162" s="160"/>
      <c r="M1162" s="160"/>
      <c r="N1162" s="160"/>
      <c r="O1162" s="160"/>
      <c r="P1162" s="160"/>
      <c r="Q1162" s="160"/>
      <c r="R1162" s="160"/>
      <c r="S1162" s="160"/>
      <c r="T1162" s="160"/>
      <c r="U1162" s="160"/>
      <c r="V1162" s="160"/>
      <c r="W1162" s="160"/>
      <c r="X1162" s="160"/>
      <c r="Y1162" s="160"/>
      <c r="Z1162" s="160"/>
      <c r="AA1162" s="160"/>
      <c r="AB1162" s="160"/>
      <c r="AC1162" s="160"/>
      <c r="AD1162" s="160"/>
      <c r="AE1162" s="160"/>
      <c r="AF1162" s="160"/>
      <c r="AG1162" s="160"/>
      <c r="AH1162" s="160"/>
      <c r="AI1162" s="160"/>
      <c r="AJ1162" s="160"/>
      <c r="AK1162" s="160"/>
      <c r="AL1162" s="160"/>
      <c r="AM1162" s="160"/>
      <c r="AN1162" s="160"/>
      <c r="AO1162" s="160"/>
      <c r="AP1162" s="160"/>
      <c r="AQ1162" s="160"/>
      <c r="AR1162" s="160"/>
      <c r="AS1162" s="160"/>
      <c r="AT1162" s="160"/>
    </row>
    <row r="1163" spans="1:48">
      <c r="B1163" s="170"/>
      <c r="C1163" s="171"/>
      <c r="D1163" s="179"/>
      <c r="E1163"/>
      <c r="F1163"/>
      <c r="G1163"/>
      <c r="H1163" s="160"/>
      <c r="I1163" s="160"/>
      <c r="J1163" s="160"/>
      <c r="K1163" s="160"/>
      <c r="L1163" s="160"/>
      <c r="M1163" s="160"/>
      <c r="N1163" s="160"/>
      <c r="O1163" s="160"/>
      <c r="P1163" s="160"/>
      <c r="Q1163" s="160"/>
      <c r="R1163" s="160"/>
      <c r="S1163" s="160"/>
      <c r="T1163" s="160"/>
      <c r="U1163" s="160"/>
      <c r="V1163" s="160"/>
      <c r="W1163" s="160"/>
      <c r="X1163" s="160"/>
      <c r="Y1163" s="160"/>
      <c r="Z1163" s="160"/>
      <c r="AA1163" s="160"/>
      <c r="AB1163" s="160"/>
      <c r="AC1163" s="160"/>
      <c r="AD1163" s="160"/>
      <c r="AE1163" s="160"/>
      <c r="AF1163" s="160"/>
      <c r="AG1163" s="160"/>
      <c r="AH1163" s="160"/>
      <c r="AI1163" s="160"/>
      <c r="AJ1163" s="160"/>
      <c r="AK1163" s="160"/>
      <c r="AL1163" s="160"/>
      <c r="AM1163" s="160"/>
      <c r="AN1163" s="160"/>
      <c r="AO1163" s="160"/>
      <c r="AP1163" s="160"/>
      <c r="AQ1163" s="160"/>
      <c r="AR1163" s="160"/>
      <c r="AS1163" s="160"/>
      <c r="AT1163" s="160"/>
    </row>
    <row r="1164" spans="1:48">
      <c r="B1164" s="170"/>
      <c r="C1164" s="171"/>
      <c r="D1164" s="179"/>
      <c r="E1164"/>
      <c r="F1164"/>
      <c r="G1164"/>
      <c r="H1164" s="160"/>
      <c r="I1164" s="160"/>
      <c r="J1164" s="160"/>
      <c r="K1164" s="160"/>
      <c r="L1164" s="160"/>
      <c r="M1164" s="160"/>
      <c r="N1164" s="160"/>
      <c r="O1164" s="160"/>
      <c r="P1164" s="160"/>
      <c r="Q1164" s="160"/>
      <c r="R1164" s="160"/>
      <c r="S1164" s="160"/>
      <c r="T1164" s="160"/>
      <c r="U1164" s="160"/>
      <c r="V1164" s="160"/>
      <c r="W1164" s="160"/>
      <c r="X1164" s="160"/>
      <c r="Y1164" s="160"/>
      <c r="Z1164" s="160"/>
      <c r="AA1164" s="160"/>
      <c r="AB1164" s="160"/>
      <c r="AC1164" s="160"/>
      <c r="AD1164" s="160"/>
      <c r="AE1164" s="160"/>
      <c r="AF1164" s="160"/>
      <c r="AG1164" s="160"/>
      <c r="AH1164" s="160"/>
      <c r="AI1164" s="160"/>
      <c r="AJ1164" s="160"/>
      <c r="AK1164" s="160"/>
      <c r="AL1164" s="160"/>
      <c r="AM1164" s="160"/>
      <c r="AN1164" s="160"/>
      <c r="AO1164" s="160"/>
      <c r="AP1164" s="160"/>
      <c r="AQ1164" s="160"/>
      <c r="AR1164" s="160"/>
      <c r="AS1164" s="160"/>
      <c r="AT1164" s="160"/>
    </row>
    <row r="1165" spans="1:48">
      <c r="B1165" s="170"/>
      <c r="C1165" s="171"/>
      <c r="D1165" s="179"/>
      <c r="E1165"/>
      <c r="F1165"/>
      <c r="G1165"/>
      <c r="H1165" s="160"/>
      <c r="I1165" s="160"/>
      <c r="J1165" s="160"/>
      <c r="K1165" s="160"/>
      <c r="L1165" s="160"/>
      <c r="M1165" s="160"/>
      <c r="N1165" s="160"/>
      <c r="O1165" s="160"/>
      <c r="P1165" s="160"/>
      <c r="Q1165" s="160"/>
      <c r="R1165" s="160"/>
      <c r="S1165" s="160"/>
      <c r="T1165" s="160"/>
      <c r="U1165" s="160"/>
      <c r="V1165" s="160"/>
      <c r="W1165" s="160"/>
      <c r="X1165" s="160"/>
      <c r="Y1165" s="160"/>
      <c r="Z1165" s="160"/>
      <c r="AA1165" s="160"/>
      <c r="AB1165" s="160"/>
      <c r="AC1165" s="160"/>
      <c r="AD1165" s="160"/>
      <c r="AE1165" s="160"/>
      <c r="AF1165" s="160"/>
      <c r="AG1165" s="160"/>
      <c r="AH1165" s="160"/>
      <c r="AI1165" s="160"/>
      <c r="AJ1165" s="160"/>
      <c r="AK1165" s="160"/>
      <c r="AL1165" s="160"/>
      <c r="AM1165" s="160"/>
      <c r="AN1165" s="160"/>
      <c r="AO1165" s="160"/>
      <c r="AP1165" s="160"/>
      <c r="AQ1165" s="160"/>
      <c r="AR1165" s="160"/>
      <c r="AS1165" s="160"/>
      <c r="AT1165" s="160"/>
    </row>
    <row r="1166" spans="1:48">
      <c r="B1166" s="170"/>
      <c r="C1166" s="171"/>
      <c r="D1166" s="179"/>
      <c r="E1166"/>
      <c r="F1166"/>
      <c r="G1166"/>
      <c r="H1166" s="160"/>
      <c r="I1166" s="160"/>
      <c r="J1166" s="160"/>
      <c r="K1166" s="160"/>
      <c r="L1166" s="160"/>
      <c r="M1166" s="160"/>
      <c r="N1166" s="160"/>
      <c r="O1166" s="160"/>
      <c r="P1166" s="160"/>
      <c r="Q1166" s="160"/>
      <c r="R1166" s="160"/>
      <c r="S1166" s="160"/>
      <c r="T1166" s="160"/>
      <c r="U1166" s="160"/>
      <c r="V1166" s="160"/>
      <c r="W1166" s="160"/>
      <c r="X1166" s="160"/>
      <c r="Y1166" s="160"/>
      <c r="Z1166" s="160"/>
      <c r="AA1166" s="160"/>
      <c r="AB1166" s="160"/>
      <c r="AC1166" s="160"/>
      <c r="AD1166" s="160"/>
      <c r="AE1166" s="160"/>
      <c r="AF1166" s="160"/>
      <c r="AG1166" s="160"/>
      <c r="AH1166" s="160"/>
      <c r="AI1166" s="160"/>
      <c r="AJ1166" s="160"/>
      <c r="AK1166" s="160"/>
      <c r="AL1166" s="160"/>
      <c r="AM1166" s="160"/>
      <c r="AN1166" s="160"/>
      <c r="AO1166" s="160"/>
      <c r="AP1166" s="160"/>
      <c r="AQ1166" s="160"/>
      <c r="AR1166" s="160"/>
      <c r="AS1166" s="160"/>
      <c r="AT1166" s="160"/>
    </row>
    <row r="1167" spans="1:48">
      <c r="B1167" s="170"/>
      <c r="C1167" s="171"/>
      <c r="D1167" s="179"/>
      <c r="E1167"/>
      <c r="F1167"/>
      <c r="G1167"/>
      <c r="H1167" s="160"/>
      <c r="I1167" s="160"/>
      <c r="J1167" s="160"/>
      <c r="K1167" s="160"/>
      <c r="L1167" s="160"/>
      <c r="M1167" s="160"/>
      <c r="N1167" s="160"/>
      <c r="O1167" s="160"/>
      <c r="P1167" s="160"/>
      <c r="Q1167" s="160"/>
      <c r="R1167" s="160"/>
      <c r="S1167" s="160"/>
      <c r="T1167" s="160"/>
      <c r="U1167" s="160"/>
      <c r="V1167" s="160"/>
      <c r="W1167" s="160"/>
      <c r="X1167" s="160"/>
      <c r="Y1167" s="160"/>
      <c r="Z1167" s="160"/>
      <c r="AA1167" s="160"/>
      <c r="AB1167" s="160"/>
      <c r="AC1167" s="160"/>
      <c r="AD1167" s="160"/>
      <c r="AE1167" s="160"/>
      <c r="AF1167" s="160"/>
      <c r="AG1167" s="160"/>
      <c r="AH1167" s="160"/>
      <c r="AI1167" s="160"/>
      <c r="AJ1167" s="160"/>
      <c r="AK1167" s="160"/>
      <c r="AL1167" s="160"/>
      <c r="AM1167" s="160"/>
      <c r="AN1167" s="160"/>
      <c r="AO1167" s="160"/>
      <c r="AP1167" s="160"/>
      <c r="AQ1167" s="160"/>
      <c r="AR1167" s="160"/>
      <c r="AS1167" s="160"/>
      <c r="AT1167" s="160"/>
    </row>
    <row r="1168" spans="1:48">
      <c r="B1168" s="170"/>
      <c r="C1168" s="171"/>
      <c r="D1168" s="179"/>
      <c r="E1168"/>
      <c r="F1168"/>
      <c r="G1168"/>
      <c r="H1168" s="160"/>
      <c r="I1168" s="160"/>
      <c r="J1168" s="160"/>
      <c r="K1168" s="160"/>
      <c r="L1168" s="160"/>
      <c r="M1168" s="160"/>
      <c r="N1168" s="160"/>
      <c r="O1168" s="160"/>
      <c r="P1168" s="160"/>
      <c r="Q1168" s="160"/>
      <c r="R1168" s="160"/>
      <c r="S1168" s="160"/>
      <c r="T1168" s="160"/>
      <c r="U1168" s="160"/>
      <c r="V1168" s="160"/>
      <c r="W1168" s="160"/>
      <c r="X1168" s="160"/>
      <c r="Y1168" s="160"/>
      <c r="Z1168" s="160"/>
      <c r="AA1168" s="160"/>
      <c r="AB1168" s="160"/>
      <c r="AC1168" s="160"/>
      <c r="AD1168" s="160"/>
      <c r="AE1168" s="160"/>
      <c r="AF1168" s="160"/>
      <c r="AG1168" s="160"/>
      <c r="AH1168" s="160"/>
      <c r="AI1168" s="160"/>
      <c r="AJ1168" s="160"/>
      <c r="AK1168" s="160"/>
      <c r="AL1168" s="160"/>
      <c r="AM1168" s="160"/>
      <c r="AN1168" s="160"/>
      <c r="AO1168" s="160"/>
      <c r="AP1168" s="160"/>
      <c r="AQ1168" s="160"/>
      <c r="AR1168" s="160"/>
      <c r="AS1168" s="160"/>
      <c r="AT1168" s="160"/>
    </row>
    <row r="1169" spans="2:46">
      <c r="B1169" s="170"/>
      <c r="C1169" s="171"/>
      <c r="D1169" s="179"/>
      <c r="E1169"/>
      <c r="F1169"/>
      <c r="G1169"/>
      <c r="H1169" s="160"/>
      <c r="I1169" s="160"/>
      <c r="J1169" s="160"/>
      <c r="K1169" s="160"/>
      <c r="L1169" s="160"/>
      <c r="M1169" s="160"/>
      <c r="N1169" s="160"/>
      <c r="O1169" s="160"/>
      <c r="P1169" s="160"/>
      <c r="Q1169" s="160"/>
      <c r="R1169" s="160"/>
      <c r="S1169" s="160"/>
      <c r="T1169" s="160"/>
      <c r="U1169" s="160"/>
      <c r="V1169" s="160"/>
      <c r="W1169" s="160"/>
      <c r="X1169" s="160"/>
      <c r="Y1169" s="160"/>
      <c r="Z1169" s="160"/>
      <c r="AA1169" s="160"/>
      <c r="AB1169" s="160"/>
      <c r="AC1169" s="160"/>
      <c r="AD1169" s="160"/>
      <c r="AE1169" s="160"/>
      <c r="AF1169" s="160"/>
      <c r="AG1169" s="160"/>
      <c r="AH1169" s="160"/>
      <c r="AI1169" s="160"/>
      <c r="AJ1169" s="160"/>
      <c r="AK1169" s="160"/>
      <c r="AL1169" s="160"/>
      <c r="AM1169" s="160"/>
      <c r="AN1169" s="160"/>
      <c r="AO1169" s="160"/>
      <c r="AP1169" s="160"/>
      <c r="AQ1169" s="160"/>
      <c r="AR1169" s="160"/>
      <c r="AS1169" s="160"/>
      <c r="AT1169" s="160"/>
    </row>
    <row r="1170" spans="2:46">
      <c r="B1170" s="170"/>
      <c r="C1170" s="171"/>
      <c r="D1170" s="179"/>
      <c r="E1170"/>
      <c r="F1170"/>
      <c r="G1170"/>
      <c r="H1170" s="160"/>
      <c r="I1170" s="160"/>
      <c r="J1170" s="160"/>
      <c r="K1170" s="160"/>
      <c r="L1170" s="160"/>
      <c r="M1170" s="160"/>
      <c r="N1170" s="160"/>
      <c r="O1170" s="160"/>
      <c r="P1170" s="160"/>
      <c r="Q1170" s="160"/>
      <c r="R1170" s="160"/>
      <c r="S1170" s="160"/>
      <c r="T1170" s="160"/>
      <c r="U1170" s="160"/>
      <c r="V1170" s="160"/>
      <c r="W1170" s="160"/>
      <c r="X1170" s="160"/>
      <c r="Y1170" s="160"/>
      <c r="Z1170" s="160"/>
      <c r="AA1170" s="160"/>
      <c r="AB1170" s="160"/>
      <c r="AC1170" s="160"/>
      <c r="AD1170" s="160"/>
      <c r="AE1170" s="160"/>
      <c r="AF1170" s="160"/>
      <c r="AG1170" s="160"/>
      <c r="AH1170" s="160"/>
      <c r="AI1170" s="160"/>
      <c r="AJ1170" s="160"/>
      <c r="AK1170" s="160"/>
      <c r="AL1170" s="160"/>
      <c r="AM1170" s="160"/>
      <c r="AN1170" s="160"/>
      <c r="AO1170" s="160"/>
      <c r="AP1170" s="160"/>
      <c r="AQ1170" s="160"/>
      <c r="AR1170" s="160"/>
      <c r="AS1170" s="160"/>
      <c r="AT1170" s="160"/>
    </row>
    <row r="1171" spans="2:46">
      <c r="B1171" s="170"/>
      <c r="C1171" s="171"/>
      <c r="D1171" s="179"/>
      <c r="E1171"/>
      <c r="F1171"/>
      <c r="G1171"/>
      <c r="H1171" s="160"/>
      <c r="I1171" s="160"/>
      <c r="J1171" s="160"/>
      <c r="K1171" s="160"/>
      <c r="L1171" s="160"/>
      <c r="M1171" s="160"/>
      <c r="N1171" s="160"/>
      <c r="O1171" s="160"/>
      <c r="P1171" s="160"/>
      <c r="Q1171" s="160"/>
      <c r="R1171" s="160"/>
      <c r="S1171" s="160"/>
      <c r="T1171" s="160"/>
      <c r="U1171" s="160"/>
      <c r="V1171" s="160"/>
      <c r="W1171" s="160"/>
      <c r="X1171" s="160"/>
      <c r="Y1171" s="160"/>
      <c r="Z1171" s="160"/>
      <c r="AA1171" s="160"/>
      <c r="AB1171" s="160"/>
      <c r="AC1171" s="160"/>
      <c r="AD1171" s="160"/>
      <c r="AE1171" s="160"/>
      <c r="AF1171" s="160"/>
      <c r="AG1171" s="160"/>
      <c r="AH1171" s="160"/>
      <c r="AI1171" s="160"/>
      <c r="AJ1171" s="160"/>
      <c r="AK1171" s="160"/>
      <c r="AL1171" s="160"/>
      <c r="AM1171" s="160"/>
      <c r="AN1171" s="160"/>
      <c r="AO1171" s="160"/>
      <c r="AP1171" s="160"/>
      <c r="AQ1171" s="160"/>
      <c r="AR1171" s="160"/>
      <c r="AS1171" s="160"/>
      <c r="AT1171" s="160"/>
    </row>
    <row r="1172" spans="2:46">
      <c r="B1172" s="170"/>
      <c r="C1172" s="171"/>
      <c r="D1172" s="179"/>
      <c r="E1172"/>
      <c r="F1172"/>
      <c r="G1172"/>
      <c r="H1172" s="160"/>
      <c r="I1172" s="160"/>
      <c r="J1172" s="160"/>
      <c r="K1172" s="160"/>
      <c r="L1172" s="160"/>
      <c r="M1172" s="160"/>
      <c r="N1172" s="160"/>
      <c r="O1172" s="160"/>
      <c r="P1172" s="160"/>
      <c r="Q1172" s="160"/>
      <c r="R1172" s="160"/>
      <c r="S1172" s="160"/>
      <c r="T1172" s="160"/>
      <c r="U1172" s="160"/>
      <c r="V1172" s="160"/>
      <c r="W1172" s="160"/>
      <c r="X1172" s="160"/>
      <c r="Y1172" s="160"/>
      <c r="Z1172" s="160"/>
      <c r="AA1172" s="160"/>
      <c r="AB1172" s="160"/>
      <c r="AC1172" s="160"/>
      <c r="AD1172" s="160"/>
      <c r="AE1172" s="160"/>
      <c r="AF1172" s="160"/>
      <c r="AG1172" s="160"/>
      <c r="AH1172" s="160"/>
      <c r="AI1172" s="160"/>
      <c r="AJ1172" s="160"/>
      <c r="AK1172" s="160"/>
      <c r="AL1172" s="160"/>
      <c r="AM1172" s="160"/>
      <c r="AN1172" s="160"/>
      <c r="AO1172" s="160"/>
      <c r="AP1172" s="160"/>
      <c r="AQ1172" s="160"/>
      <c r="AR1172" s="160"/>
      <c r="AS1172" s="160"/>
      <c r="AT1172" s="160"/>
    </row>
    <row r="1173" spans="2:46">
      <c r="B1173" s="170"/>
      <c r="C1173" s="171"/>
      <c r="D1173" s="179"/>
      <c r="E1173"/>
      <c r="F1173"/>
      <c r="G1173"/>
      <c r="H1173" s="160"/>
      <c r="I1173" s="160"/>
      <c r="J1173" s="160"/>
      <c r="K1173" s="160"/>
      <c r="L1173" s="160"/>
      <c r="M1173" s="160"/>
      <c r="N1173" s="160"/>
      <c r="O1173" s="160"/>
      <c r="P1173" s="160"/>
      <c r="Q1173" s="160"/>
      <c r="R1173" s="160"/>
      <c r="S1173" s="160"/>
      <c r="T1173" s="160"/>
      <c r="U1173" s="160"/>
      <c r="V1173" s="160"/>
      <c r="W1173" s="160"/>
      <c r="X1173" s="160"/>
      <c r="Y1173" s="160"/>
      <c r="Z1173" s="160"/>
      <c r="AA1173" s="160"/>
      <c r="AB1173" s="160"/>
      <c r="AC1173" s="160"/>
      <c r="AD1173" s="160"/>
      <c r="AE1173" s="160"/>
      <c r="AF1173" s="160"/>
      <c r="AG1173" s="160"/>
      <c r="AH1173" s="160"/>
      <c r="AI1173" s="160"/>
      <c r="AJ1173" s="160"/>
      <c r="AK1173" s="160"/>
      <c r="AL1173" s="160"/>
      <c r="AM1173" s="160"/>
      <c r="AN1173" s="160"/>
      <c r="AO1173" s="160"/>
      <c r="AP1173" s="160"/>
      <c r="AQ1173" s="160"/>
      <c r="AR1173" s="160"/>
      <c r="AS1173" s="160"/>
      <c r="AT1173" s="160"/>
    </row>
    <row r="1174" spans="2:46">
      <c r="B1174" s="170"/>
      <c r="C1174" s="171"/>
      <c r="D1174" s="179"/>
      <c r="E1174"/>
      <c r="F1174"/>
      <c r="G1174"/>
      <c r="H1174" s="160"/>
      <c r="I1174" s="160"/>
      <c r="J1174" s="160"/>
      <c r="K1174" s="160"/>
      <c r="L1174" s="160"/>
      <c r="M1174" s="160"/>
      <c r="N1174" s="160"/>
      <c r="O1174" s="160"/>
      <c r="P1174" s="160"/>
      <c r="Q1174" s="160"/>
      <c r="R1174" s="160"/>
      <c r="S1174" s="160"/>
      <c r="T1174" s="160"/>
      <c r="U1174" s="160"/>
      <c r="V1174" s="160"/>
      <c r="W1174" s="160"/>
      <c r="X1174" s="160"/>
      <c r="Y1174" s="160"/>
      <c r="Z1174" s="160"/>
      <c r="AA1174" s="160"/>
      <c r="AB1174" s="160"/>
      <c r="AC1174" s="160"/>
      <c r="AD1174" s="160"/>
      <c r="AE1174" s="160"/>
      <c r="AF1174" s="160"/>
      <c r="AG1174" s="160"/>
      <c r="AH1174" s="160"/>
      <c r="AI1174" s="160"/>
      <c r="AJ1174" s="160"/>
      <c r="AK1174" s="160"/>
      <c r="AL1174" s="160"/>
      <c r="AM1174" s="160"/>
      <c r="AN1174" s="160"/>
      <c r="AO1174" s="160"/>
      <c r="AP1174" s="160"/>
      <c r="AQ1174" s="160"/>
      <c r="AR1174" s="160"/>
      <c r="AS1174" s="160"/>
      <c r="AT1174" s="160"/>
    </row>
    <row r="1175" spans="2:46">
      <c r="B1175" s="170"/>
      <c r="C1175" s="171"/>
      <c r="D1175" s="179"/>
      <c r="E1175"/>
      <c r="F1175"/>
      <c r="G1175"/>
      <c r="H1175" s="160"/>
      <c r="I1175" s="160"/>
      <c r="J1175" s="160"/>
      <c r="K1175" s="160"/>
      <c r="L1175" s="160"/>
      <c r="M1175" s="160"/>
      <c r="N1175" s="160"/>
      <c r="O1175" s="160"/>
      <c r="P1175" s="160"/>
      <c r="Q1175" s="160"/>
      <c r="R1175" s="160"/>
      <c r="S1175" s="160"/>
      <c r="T1175" s="160"/>
      <c r="U1175" s="160"/>
      <c r="V1175" s="160"/>
      <c r="W1175" s="160"/>
      <c r="X1175" s="160"/>
      <c r="Y1175" s="160"/>
      <c r="Z1175" s="160"/>
      <c r="AA1175" s="160"/>
      <c r="AB1175" s="160"/>
      <c r="AC1175" s="160"/>
      <c r="AD1175" s="160"/>
      <c r="AE1175" s="160"/>
      <c r="AF1175" s="160"/>
      <c r="AG1175" s="160"/>
      <c r="AH1175" s="160"/>
      <c r="AI1175" s="160"/>
      <c r="AJ1175" s="160"/>
      <c r="AK1175" s="160"/>
      <c r="AL1175" s="160"/>
      <c r="AM1175" s="160"/>
      <c r="AN1175" s="160"/>
      <c r="AO1175" s="160"/>
      <c r="AP1175" s="160"/>
      <c r="AQ1175" s="160"/>
      <c r="AR1175" s="160"/>
      <c r="AS1175" s="160"/>
      <c r="AT1175" s="160"/>
    </row>
    <row r="1176" spans="2:46">
      <c r="B1176" s="170"/>
      <c r="C1176" s="171"/>
      <c r="D1176" s="179"/>
      <c r="E1176"/>
      <c r="F1176"/>
      <c r="G1176"/>
      <c r="H1176" s="160"/>
      <c r="I1176" s="160"/>
      <c r="J1176" s="160"/>
      <c r="K1176" s="160"/>
      <c r="L1176" s="160"/>
      <c r="M1176" s="160"/>
      <c r="N1176" s="160"/>
      <c r="O1176" s="160"/>
      <c r="P1176" s="160"/>
      <c r="Q1176" s="160"/>
      <c r="R1176" s="160"/>
      <c r="S1176" s="160"/>
      <c r="T1176" s="160"/>
      <c r="U1176" s="160"/>
      <c r="V1176" s="160"/>
      <c r="W1176" s="160"/>
      <c r="X1176" s="160"/>
      <c r="Y1176" s="160"/>
      <c r="Z1176" s="160"/>
      <c r="AA1176" s="160"/>
      <c r="AB1176" s="160"/>
      <c r="AC1176" s="160"/>
      <c r="AD1176" s="160"/>
      <c r="AE1176" s="160"/>
      <c r="AF1176" s="160"/>
      <c r="AG1176" s="160"/>
      <c r="AH1176" s="160"/>
      <c r="AI1176" s="160"/>
      <c r="AJ1176" s="160"/>
      <c r="AK1176" s="160"/>
      <c r="AL1176" s="160"/>
      <c r="AM1176" s="160"/>
      <c r="AN1176" s="160"/>
      <c r="AO1176" s="160"/>
      <c r="AP1176" s="160"/>
      <c r="AQ1176" s="160"/>
      <c r="AR1176" s="160"/>
      <c r="AS1176" s="160"/>
      <c r="AT1176" s="160"/>
    </row>
    <row r="1177" spans="2:46">
      <c r="B1177" s="170"/>
      <c r="C1177" s="171"/>
      <c r="D1177" s="179"/>
      <c r="E1177"/>
      <c r="F1177"/>
      <c r="G1177"/>
      <c r="H1177" s="160"/>
      <c r="I1177" s="160"/>
      <c r="J1177" s="160"/>
      <c r="K1177" s="160"/>
      <c r="L1177" s="160"/>
      <c r="M1177" s="160"/>
      <c r="N1177" s="160"/>
      <c r="O1177" s="160"/>
      <c r="P1177" s="160"/>
      <c r="Q1177" s="160"/>
      <c r="R1177" s="160"/>
      <c r="S1177" s="160"/>
      <c r="T1177" s="160"/>
      <c r="U1177" s="160"/>
      <c r="V1177" s="160"/>
      <c r="W1177" s="160"/>
      <c r="X1177" s="160"/>
      <c r="Y1177" s="160"/>
      <c r="Z1177" s="160"/>
      <c r="AA1177" s="160"/>
      <c r="AB1177" s="160"/>
      <c r="AC1177" s="160"/>
      <c r="AD1177" s="160"/>
      <c r="AE1177" s="160"/>
      <c r="AF1177" s="160"/>
      <c r="AG1177" s="160"/>
      <c r="AH1177" s="160"/>
      <c r="AI1177" s="160"/>
      <c r="AJ1177" s="160"/>
      <c r="AK1177" s="160"/>
      <c r="AL1177" s="160"/>
      <c r="AM1177" s="160"/>
      <c r="AN1177" s="160"/>
      <c r="AO1177" s="160"/>
      <c r="AP1177" s="160"/>
      <c r="AQ1177" s="160"/>
      <c r="AR1177" s="160"/>
      <c r="AS1177" s="160"/>
      <c r="AT1177" s="160"/>
    </row>
    <row r="1178" spans="2:46">
      <c r="B1178" s="170"/>
      <c r="C1178" s="171"/>
      <c r="D1178" s="179"/>
      <c r="E1178"/>
      <c r="F1178"/>
      <c r="G1178"/>
      <c r="H1178" s="160"/>
      <c r="I1178" s="160"/>
      <c r="J1178" s="160"/>
      <c r="K1178" s="160"/>
      <c r="L1178" s="160"/>
      <c r="M1178" s="160"/>
      <c r="N1178" s="160"/>
      <c r="O1178" s="160"/>
      <c r="P1178" s="160"/>
      <c r="Q1178" s="160"/>
      <c r="R1178" s="160"/>
      <c r="S1178" s="160"/>
      <c r="T1178" s="160"/>
      <c r="U1178" s="160"/>
      <c r="V1178" s="160"/>
      <c r="W1178" s="160"/>
      <c r="X1178" s="160"/>
      <c r="Y1178" s="160"/>
      <c r="Z1178" s="160"/>
      <c r="AA1178" s="160"/>
      <c r="AB1178" s="160"/>
      <c r="AC1178" s="160"/>
      <c r="AD1178" s="160"/>
      <c r="AE1178" s="160"/>
      <c r="AF1178" s="160"/>
      <c r="AG1178" s="160"/>
      <c r="AH1178" s="160"/>
      <c r="AI1178" s="160"/>
      <c r="AJ1178" s="160"/>
      <c r="AK1178" s="160"/>
      <c r="AL1178" s="160"/>
      <c r="AM1178" s="160"/>
      <c r="AN1178" s="160"/>
      <c r="AO1178" s="160"/>
      <c r="AP1178" s="160"/>
      <c r="AQ1178" s="160"/>
      <c r="AR1178" s="160"/>
      <c r="AS1178" s="160"/>
      <c r="AT1178" s="160"/>
    </row>
    <row r="1179" spans="2:46">
      <c r="B1179" s="170"/>
      <c r="C1179" s="171"/>
      <c r="D1179" s="179"/>
      <c r="E1179"/>
      <c r="F1179"/>
      <c r="G1179"/>
      <c r="H1179" s="160"/>
      <c r="I1179" s="160"/>
      <c r="J1179" s="160"/>
      <c r="K1179" s="160"/>
      <c r="L1179" s="160"/>
      <c r="M1179" s="160"/>
      <c r="N1179" s="160"/>
      <c r="O1179" s="160"/>
      <c r="P1179" s="160"/>
      <c r="Q1179" s="160"/>
      <c r="R1179" s="160"/>
      <c r="S1179" s="160"/>
      <c r="T1179" s="160"/>
      <c r="U1179" s="160"/>
      <c r="V1179" s="160"/>
      <c r="W1179" s="160"/>
      <c r="X1179" s="160"/>
      <c r="Y1179" s="160"/>
      <c r="Z1179" s="160"/>
      <c r="AA1179" s="160"/>
      <c r="AB1179" s="160"/>
      <c r="AC1179" s="160"/>
      <c r="AD1179" s="160"/>
      <c r="AE1179" s="160"/>
      <c r="AF1179" s="160"/>
      <c r="AG1179" s="160"/>
      <c r="AH1179" s="160"/>
      <c r="AI1179" s="160"/>
      <c r="AJ1179" s="160"/>
      <c r="AK1179" s="160"/>
      <c r="AL1179" s="160"/>
      <c r="AM1179" s="160"/>
      <c r="AN1179" s="160"/>
      <c r="AO1179" s="160"/>
      <c r="AP1179" s="160"/>
      <c r="AQ1179" s="160"/>
      <c r="AR1179" s="160"/>
      <c r="AS1179" s="160"/>
      <c r="AT1179" s="160"/>
    </row>
    <row r="1180" spans="2:46">
      <c r="B1180" s="170"/>
      <c r="C1180" s="171"/>
      <c r="D1180" s="179"/>
      <c r="E1180"/>
      <c r="F1180"/>
      <c r="G1180"/>
      <c r="H1180" s="160"/>
      <c r="I1180" s="160"/>
      <c r="J1180" s="160"/>
      <c r="K1180" s="160"/>
      <c r="L1180" s="160"/>
      <c r="M1180" s="160"/>
      <c r="N1180" s="160"/>
      <c r="O1180" s="160"/>
      <c r="P1180" s="160"/>
      <c r="Q1180" s="160"/>
      <c r="R1180" s="160"/>
      <c r="S1180" s="160"/>
      <c r="T1180" s="160"/>
      <c r="U1180" s="160"/>
      <c r="V1180" s="160"/>
      <c r="W1180" s="160"/>
      <c r="X1180" s="160"/>
      <c r="Y1180" s="160"/>
      <c r="Z1180" s="160"/>
      <c r="AA1180" s="160"/>
      <c r="AB1180" s="160"/>
      <c r="AC1180" s="160"/>
      <c r="AD1180" s="160"/>
      <c r="AE1180" s="160"/>
      <c r="AF1180" s="160"/>
      <c r="AG1180" s="160"/>
      <c r="AH1180" s="160"/>
      <c r="AI1180" s="160"/>
      <c r="AJ1180" s="160"/>
      <c r="AK1180" s="160"/>
      <c r="AL1180" s="160"/>
      <c r="AM1180" s="160"/>
      <c r="AN1180" s="160"/>
      <c r="AO1180" s="160"/>
      <c r="AP1180" s="160"/>
      <c r="AQ1180" s="160"/>
      <c r="AR1180" s="160"/>
      <c r="AS1180" s="160"/>
      <c r="AT1180" s="160"/>
    </row>
    <row r="1181" spans="2:46">
      <c r="B1181" s="170"/>
      <c r="C1181" s="171"/>
      <c r="D1181" s="179"/>
      <c r="E1181"/>
      <c r="F1181"/>
      <c r="G1181"/>
      <c r="H1181" s="160"/>
      <c r="I1181" s="160"/>
      <c r="J1181" s="160"/>
      <c r="K1181" s="160"/>
      <c r="L1181" s="160"/>
      <c r="M1181" s="160"/>
      <c r="N1181" s="160"/>
      <c r="O1181" s="160"/>
      <c r="P1181" s="160"/>
      <c r="Q1181" s="160"/>
      <c r="R1181" s="160"/>
      <c r="S1181" s="160"/>
      <c r="T1181" s="160"/>
      <c r="U1181" s="160"/>
      <c r="V1181" s="160"/>
      <c r="W1181" s="160"/>
      <c r="X1181" s="160"/>
      <c r="Y1181" s="160"/>
      <c r="Z1181" s="160"/>
      <c r="AA1181" s="160"/>
      <c r="AB1181" s="160"/>
      <c r="AC1181" s="160"/>
      <c r="AD1181" s="160"/>
      <c r="AE1181" s="160"/>
      <c r="AF1181" s="160"/>
      <c r="AG1181" s="160"/>
      <c r="AH1181" s="160"/>
      <c r="AI1181" s="160"/>
      <c r="AJ1181" s="160"/>
      <c r="AK1181" s="160"/>
      <c r="AL1181" s="160"/>
      <c r="AM1181" s="160"/>
      <c r="AN1181" s="160"/>
      <c r="AO1181" s="160"/>
      <c r="AP1181" s="160"/>
      <c r="AQ1181" s="160"/>
      <c r="AR1181" s="160"/>
      <c r="AS1181" s="160"/>
      <c r="AT1181" s="160"/>
    </row>
    <row r="1182" spans="2:46">
      <c r="B1182" s="170"/>
      <c r="C1182" s="171"/>
      <c r="D1182" s="179"/>
      <c r="E1182"/>
      <c r="F1182"/>
      <c r="G1182"/>
      <c r="H1182" s="160"/>
      <c r="I1182" s="160"/>
      <c r="J1182" s="160"/>
      <c r="K1182" s="160"/>
      <c r="L1182" s="160"/>
      <c r="M1182" s="160"/>
      <c r="N1182" s="160"/>
      <c r="O1182" s="160"/>
      <c r="P1182" s="160"/>
      <c r="Q1182" s="160"/>
      <c r="R1182" s="160"/>
      <c r="S1182" s="160"/>
      <c r="T1182" s="160"/>
      <c r="U1182" s="160"/>
      <c r="V1182" s="160"/>
      <c r="W1182" s="160"/>
      <c r="X1182" s="160"/>
      <c r="Y1182" s="160"/>
      <c r="Z1182" s="160"/>
      <c r="AA1182" s="160"/>
      <c r="AB1182" s="160"/>
      <c r="AC1182" s="160"/>
      <c r="AD1182" s="160"/>
      <c r="AE1182" s="160"/>
      <c r="AF1182" s="160"/>
      <c r="AG1182" s="160"/>
      <c r="AH1182" s="160"/>
      <c r="AI1182" s="160"/>
      <c r="AJ1182" s="160"/>
      <c r="AK1182" s="160"/>
      <c r="AL1182" s="160"/>
      <c r="AM1182" s="160"/>
      <c r="AN1182" s="160"/>
      <c r="AO1182" s="160"/>
      <c r="AP1182" s="160"/>
      <c r="AQ1182" s="160"/>
      <c r="AR1182" s="160"/>
      <c r="AS1182" s="160"/>
      <c r="AT1182" s="160"/>
    </row>
    <row r="1183" spans="2:46">
      <c r="B1183" s="170"/>
      <c r="C1183" s="171"/>
      <c r="D1183" s="179"/>
      <c r="E1183"/>
      <c r="F1183"/>
      <c r="G1183"/>
      <c r="H1183" s="160"/>
      <c r="I1183" s="160"/>
      <c r="J1183" s="160"/>
      <c r="K1183" s="160"/>
      <c r="L1183" s="160"/>
      <c r="M1183" s="160"/>
      <c r="N1183" s="160"/>
      <c r="O1183" s="160"/>
      <c r="P1183" s="160"/>
      <c r="Q1183" s="160"/>
      <c r="R1183" s="160"/>
      <c r="S1183" s="160"/>
      <c r="T1183" s="160"/>
      <c r="U1183" s="160"/>
      <c r="V1183" s="160"/>
      <c r="W1183" s="160"/>
      <c r="X1183" s="160"/>
      <c r="Y1183" s="160"/>
      <c r="Z1183" s="160"/>
      <c r="AA1183" s="160"/>
      <c r="AB1183" s="160"/>
      <c r="AC1183" s="160"/>
      <c r="AD1183" s="160"/>
      <c r="AE1183" s="160"/>
      <c r="AF1183" s="160"/>
      <c r="AG1183" s="160"/>
      <c r="AH1183" s="160"/>
      <c r="AI1183" s="160"/>
      <c r="AJ1183" s="160"/>
      <c r="AK1183" s="160"/>
      <c r="AL1183" s="160"/>
      <c r="AM1183" s="160"/>
      <c r="AN1183" s="160"/>
      <c r="AO1183" s="160"/>
      <c r="AP1183" s="160"/>
      <c r="AQ1183" s="160"/>
      <c r="AR1183" s="160"/>
      <c r="AS1183" s="160"/>
      <c r="AT1183" s="160"/>
    </row>
    <row r="1184" spans="2:46">
      <c r="B1184" s="170"/>
      <c r="C1184" s="171"/>
      <c r="D1184" s="179"/>
      <c r="E1184"/>
      <c r="F1184"/>
      <c r="G1184"/>
      <c r="H1184" s="160"/>
      <c r="I1184" s="160"/>
      <c r="J1184" s="160"/>
      <c r="K1184" s="160"/>
      <c r="L1184" s="160"/>
      <c r="M1184" s="160"/>
      <c r="N1184" s="160"/>
      <c r="O1184" s="160"/>
      <c r="P1184" s="160"/>
      <c r="Q1184" s="160"/>
      <c r="R1184" s="160"/>
      <c r="S1184" s="160"/>
      <c r="T1184" s="160"/>
      <c r="U1184" s="160"/>
      <c r="V1184" s="160"/>
      <c r="W1184" s="160"/>
      <c r="X1184" s="160"/>
      <c r="Y1184" s="160"/>
      <c r="Z1184" s="160"/>
      <c r="AA1184" s="160"/>
      <c r="AB1184" s="160"/>
      <c r="AC1184" s="160"/>
      <c r="AD1184" s="160"/>
      <c r="AE1184" s="160"/>
      <c r="AF1184" s="160"/>
      <c r="AG1184" s="160"/>
      <c r="AH1184" s="160"/>
      <c r="AI1184" s="160"/>
      <c r="AJ1184" s="160"/>
      <c r="AK1184" s="160"/>
      <c r="AL1184" s="160"/>
      <c r="AM1184" s="160"/>
      <c r="AN1184" s="160"/>
      <c r="AO1184" s="160"/>
      <c r="AP1184" s="160"/>
      <c r="AQ1184" s="160"/>
      <c r="AR1184" s="160"/>
      <c r="AS1184" s="160"/>
      <c r="AT1184" s="160"/>
    </row>
    <row r="1185" spans="2:46">
      <c r="B1185" s="170"/>
      <c r="C1185" s="171"/>
      <c r="D1185" s="179"/>
      <c r="E1185"/>
      <c r="F1185"/>
      <c r="G1185"/>
      <c r="H1185" s="160"/>
      <c r="I1185" s="160"/>
      <c r="J1185" s="160"/>
      <c r="K1185" s="160"/>
      <c r="L1185" s="160"/>
      <c r="M1185" s="160"/>
      <c r="N1185" s="160"/>
      <c r="O1185" s="160"/>
      <c r="P1185" s="160"/>
      <c r="Q1185" s="160"/>
      <c r="R1185" s="160"/>
      <c r="S1185" s="160"/>
      <c r="T1185" s="160"/>
      <c r="U1185" s="160"/>
      <c r="V1185" s="160"/>
      <c r="W1185" s="160"/>
      <c r="X1185" s="160"/>
      <c r="Y1185" s="160"/>
      <c r="Z1185" s="160"/>
      <c r="AA1185" s="160"/>
      <c r="AB1185" s="160"/>
      <c r="AC1185" s="160"/>
      <c r="AD1185" s="160"/>
      <c r="AE1185" s="160"/>
      <c r="AF1185" s="160"/>
      <c r="AG1185" s="160"/>
      <c r="AH1185" s="160"/>
      <c r="AI1185" s="160"/>
      <c r="AJ1185" s="160"/>
      <c r="AK1185" s="160"/>
      <c r="AL1185" s="160"/>
      <c r="AM1185" s="160"/>
      <c r="AN1185" s="160"/>
      <c r="AO1185" s="160"/>
      <c r="AP1185" s="160"/>
      <c r="AQ1185" s="160"/>
      <c r="AR1185" s="160"/>
      <c r="AS1185" s="160"/>
      <c r="AT1185" s="160"/>
    </row>
    <row r="1186" spans="2:46">
      <c r="B1186" s="170"/>
      <c r="C1186" s="171"/>
      <c r="D1186" s="179"/>
      <c r="E1186"/>
      <c r="F1186"/>
      <c r="G1186"/>
      <c r="H1186" s="160"/>
      <c r="I1186" s="160"/>
      <c r="J1186" s="160"/>
      <c r="K1186" s="160"/>
      <c r="L1186" s="160"/>
      <c r="M1186" s="160"/>
      <c r="N1186" s="160"/>
      <c r="O1186" s="160"/>
      <c r="P1186" s="160"/>
      <c r="Q1186" s="160"/>
      <c r="R1186" s="160"/>
      <c r="S1186" s="160"/>
      <c r="T1186" s="160"/>
      <c r="U1186" s="160"/>
      <c r="V1186" s="160"/>
      <c r="W1186" s="160"/>
      <c r="X1186" s="160"/>
      <c r="Y1186" s="160"/>
      <c r="Z1186" s="160"/>
      <c r="AA1186" s="160"/>
      <c r="AB1186" s="160"/>
      <c r="AC1186" s="160"/>
      <c r="AD1186" s="160"/>
      <c r="AE1186" s="160"/>
      <c r="AF1186" s="160"/>
      <c r="AG1186" s="160"/>
      <c r="AH1186" s="160"/>
      <c r="AI1186" s="160"/>
      <c r="AJ1186" s="160"/>
      <c r="AK1186" s="160"/>
      <c r="AL1186" s="160"/>
      <c r="AM1186" s="160"/>
      <c r="AN1186" s="160"/>
      <c r="AO1186" s="160"/>
      <c r="AP1186" s="160"/>
      <c r="AQ1186" s="160"/>
      <c r="AR1186" s="160"/>
      <c r="AS1186" s="160"/>
      <c r="AT1186" s="160"/>
    </row>
    <row r="1187" spans="2:46">
      <c r="B1187" s="170"/>
      <c r="C1187" s="171"/>
      <c r="D1187" s="179"/>
      <c r="E1187"/>
      <c r="F1187"/>
      <c r="G1187"/>
      <c r="H1187" s="160"/>
      <c r="I1187" s="160"/>
      <c r="J1187" s="160"/>
      <c r="K1187" s="160"/>
      <c r="L1187" s="160"/>
      <c r="M1187" s="160"/>
      <c r="N1187" s="160"/>
      <c r="O1187" s="160"/>
      <c r="P1187" s="160"/>
      <c r="Q1187" s="160"/>
      <c r="R1187" s="160"/>
      <c r="S1187" s="160"/>
      <c r="T1187" s="160"/>
      <c r="U1187" s="160"/>
      <c r="V1187" s="160"/>
      <c r="W1187" s="160"/>
      <c r="X1187" s="160"/>
      <c r="Y1187" s="160"/>
      <c r="Z1187" s="160"/>
      <c r="AA1187" s="160"/>
      <c r="AB1187" s="160"/>
      <c r="AC1187" s="160"/>
      <c r="AD1187" s="160"/>
      <c r="AE1187" s="160"/>
      <c r="AF1187" s="160"/>
      <c r="AG1187" s="160"/>
      <c r="AH1187" s="160"/>
      <c r="AI1187" s="160"/>
      <c r="AJ1187" s="160"/>
      <c r="AK1187" s="160"/>
      <c r="AL1187" s="160"/>
      <c r="AM1187" s="160"/>
      <c r="AN1187" s="160"/>
      <c r="AO1187" s="160"/>
      <c r="AP1187" s="160"/>
      <c r="AQ1187" s="160"/>
      <c r="AR1187" s="160"/>
      <c r="AS1187" s="160"/>
      <c r="AT1187" s="160"/>
    </row>
    <row r="1188" spans="2:46">
      <c r="B1188" s="170"/>
      <c r="C1188" s="171"/>
      <c r="D1188" s="179"/>
      <c r="E1188"/>
      <c r="F1188"/>
      <c r="G1188"/>
      <c r="H1188" s="160"/>
      <c r="I1188" s="160"/>
      <c r="J1188" s="160"/>
      <c r="K1188" s="160"/>
      <c r="L1188" s="160"/>
      <c r="M1188" s="160"/>
      <c r="N1188" s="160"/>
      <c r="O1188" s="160"/>
      <c r="P1188" s="160"/>
      <c r="Q1188" s="160"/>
      <c r="R1188" s="160"/>
      <c r="S1188" s="160"/>
      <c r="T1188" s="160"/>
      <c r="U1188" s="160"/>
      <c r="V1188" s="160"/>
      <c r="W1188" s="160"/>
      <c r="X1188" s="160"/>
      <c r="Y1188" s="160"/>
      <c r="Z1188" s="160"/>
      <c r="AA1188" s="160"/>
      <c r="AB1188" s="160"/>
      <c r="AC1188" s="160"/>
      <c r="AD1188" s="160"/>
      <c r="AE1188" s="160"/>
      <c r="AF1188" s="160"/>
      <c r="AG1188" s="160"/>
      <c r="AH1188" s="160"/>
      <c r="AI1188" s="160"/>
      <c r="AJ1188" s="160"/>
      <c r="AK1188" s="160"/>
      <c r="AL1188" s="160"/>
      <c r="AM1188" s="160"/>
      <c r="AN1188" s="160"/>
      <c r="AO1188" s="160"/>
      <c r="AP1188" s="160"/>
      <c r="AQ1188" s="160"/>
      <c r="AR1188" s="160"/>
      <c r="AS1188" s="160"/>
      <c r="AT1188" s="160"/>
    </row>
    <row r="1189" spans="2:46">
      <c r="B1189" s="170"/>
      <c r="C1189" s="171"/>
      <c r="D1189" s="179"/>
      <c r="E1189"/>
      <c r="F1189"/>
      <c r="G1189"/>
      <c r="H1189" s="160"/>
      <c r="I1189" s="160"/>
      <c r="J1189" s="160"/>
      <c r="K1189" s="160"/>
      <c r="L1189" s="160"/>
      <c r="M1189" s="160"/>
      <c r="N1189" s="160"/>
      <c r="O1189" s="160"/>
      <c r="P1189" s="160"/>
      <c r="Q1189" s="160"/>
      <c r="R1189" s="160"/>
      <c r="S1189" s="160"/>
      <c r="T1189" s="160"/>
      <c r="U1189" s="160"/>
      <c r="V1189" s="160"/>
      <c r="W1189" s="160"/>
      <c r="X1189" s="160"/>
      <c r="Y1189" s="160"/>
      <c r="Z1189" s="160"/>
      <c r="AA1189" s="160"/>
      <c r="AB1189" s="160"/>
      <c r="AC1189" s="160"/>
      <c r="AD1189" s="160"/>
      <c r="AE1189" s="160"/>
      <c r="AF1189" s="160"/>
      <c r="AG1189" s="160"/>
      <c r="AH1189" s="160"/>
      <c r="AI1189" s="160"/>
      <c r="AJ1189" s="160"/>
      <c r="AK1189" s="160"/>
      <c r="AL1189" s="160"/>
      <c r="AM1189" s="160"/>
      <c r="AN1189" s="160"/>
      <c r="AO1189" s="160"/>
      <c r="AP1189" s="160"/>
      <c r="AQ1189" s="160"/>
      <c r="AR1189" s="160"/>
      <c r="AS1189" s="160"/>
      <c r="AT1189" s="160"/>
    </row>
    <row r="1190" spans="2:46">
      <c r="B1190" s="170"/>
      <c r="C1190" s="171"/>
      <c r="D1190" s="179"/>
      <c r="E1190"/>
      <c r="F1190"/>
      <c r="G1190"/>
      <c r="H1190" s="160"/>
      <c r="I1190" s="160"/>
      <c r="J1190" s="160"/>
      <c r="K1190" s="160"/>
      <c r="L1190" s="160"/>
      <c r="M1190" s="160"/>
      <c r="N1190" s="160"/>
      <c r="O1190" s="160"/>
      <c r="P1190" s="160"/>
      <c r="Q1190" s="160"/>
      <c r="R1190" s="160"/>
      <c r="S1190" s="160"/>
      <c r="T1190" s="160"/>
      <c r="U1190" s="160"/>
      <c r="V1190" s="160"/>
      <c r="W1190" s="160"/>
      <c r="X1190" s="160"/>
      <c r="Y1190" s="160"/>
      <c r="Z1190" s="160"/>
      <c r="AA1190" s="160"/>
      <c r="AB1190" s="160"/>
      <c r="AC1190" s="160"/>
      <c r="AD1190" s="160"/>
      <c r="AE1190" s="160"/>
      <c r="AF1190" s="160"/>
      <c r="AG1190" s="160"/>
      <c r="AH1190" s="160"/>
      <c r="AI1190" s="160"/>
      <c r="AJ1190" s="160"/>
      <c r="AK1190" s="160"/>
      <c r="AL1190" s="160"/>
      <c r="AM1190" s="160"/>
      <c r="AN1190" s="160"/>
      <c r="AO1190" s="160"/>
      <c r="AP1190" s="160"/>
      <c r="AQ1190" s="160"/>
      <c r="AR1190" s="160"/>
      <c r="AS1190" s="160"/>
      <c r="AT1190" s="160"/>
    </row>
    <row r="1191" spans="2:46">
      <c r="B1191" s="170"/>
      <c r="C1191" s="171"/>
      <c r="D1191" s="179"/>
      <c r="E1191"/>
      <c r="F1191"/>
      <c r="G1191"/>
      <c r="H1191" s="160"/>
      <c r="I1191" s="160"/>
      <c r="J1191" s="160"/>
      <c r="K1191" s="160"/>
      <c r="L1191" s="160"/>
      <c r="M1191" s="160"/>
      <c r="N1191" s="160"/>
      <c r="O1191" s="160"/>
      <c r="P1191" s="160"/>
      <c r="Q1191" s="160"/>
      <c r="R1191" s="160"/>
      <c r="S1191" s="160"/>
      <c r="T1191" s="160"/>
      <c r="U1191" s="160"/>
      <c r="V1191" s="160"/>
      <c r="W1191" s="160"/>
      <c r="X1191" s="160"/>
      <c r="Y1191" s="160"/>
      <c r="Z1191" s="160"/>
      <c r="AA1191" s="160"/>
      <c r="AB1191" s="160"/>
      <c r="AC1191" s="160"/>
      <c r="AD1191" s="160"/>
      <c r="AE1191" s="160"/>
      <c r="AF1191" s="160"/>
      <c r="AG1191" s="160"/>
      <c r="AH1191" s="160"/>
      <c r="AI1191" s="160"/>
      <c r="AJ1191" s="160"/>
      <c r="AK1191" s="160"/>
      <c r="AL1191" s="160"/>
      <c r="AM1191" s="160"/>
      <c r="AN1191" s="160"/>
      <c r="AO1191" s="160"/>
      <c r="AP1191" s="160"/>
      <c r="AQ1191" s="160"/>
      <c r="AR1191" s="160"/>
      <c r="AS1191" s="160"/>
      <c r="AT1191" s="160"/>
    </row>
    <row r="1192" spans="2:46">
      <c r="B1192" s="170"/>
      <c r="C1192" s="171"/>
      <c r="D1192" s="179"/>
      <c r="E1192"/>
      <c r="F1192"/>
      <c r="G1192"/>
      <c r="H1192" s="160"/>
      <c r="I1192" s="160"/>
      <c r="J1192" s="160"/>
      <c r="K1192" s="160"/>
      <c r="L1192" s="160"/>
      <c r="M1192" s="160"/>
      <c r="N1192" s="160"/>
      <c r="O1192" s="160"/>
      <c r="P1192" s="160"/>
      <c r="Q1192" s="160"/>
      <c r="R1192" s="160"/>
      <c r="S1192" s="160"/>
      <c r="T1192" s="160"/>
      <c r="U1192" s="160"/>
      <c r="V1192" s="160"/>
      <c r="W1192" s="160"/>
      <c r="X1192" s="160"/>
      <c r="Y1192" s="160"/>
      <c r="Z1192" s="160"/>
      <c r="AA1192" s="160"/>
      <c r="AB1192" s="160"/>
      <c r="AC1192" s="160"/>
      <c r="AD1192" s="160"/>
      <c r="AE1192" s="160"/>
      <c r="AF1192" s="160"/>
      <c r="AG1192" s="160"/>
      <c r="AH1192" s="160"/>
      <c r="AI1192" s="160"/>
      <c r="AJ1192" s="160"/>
      <c r="AK1192" s="160"/>
      <c r="AL1192" s="160"/>
      <c r="AM1192" s="160"/>
      <c r="AN1192" s="160"/>
      <c r="AO1192" s="160"/>
      <c r="AP1192" s="160"/>
      <c r="AQ1192" s="160"/>
      <c r="AR1192" s="160"/>
      <c r="AS1192" s="160"/>
      <c r="AT1192" s="160"/>
    </row>
    <row r="1193" spans="2:46">
      <c r="B1193" s="170"/>
      <c r="C1193" s="171"/>
      <c r="D1193" s="179"/>
      <c r="E1193"/>
      <c r="F1193"/>
      <c r="G1193"/>
      <c r="H1193" s="160"/>
      <c r="I1193" s="160"/>
      <c r="J1193" s="160"/>
      <c r="K1193" s="160"/>
      <c r="L1193" s="160"/>
      <c r="M1193" s="160"/>
      <c r="N1193" s="160"/>
      <c r="O1193" s="160"/>
      <c r="P1193" s="160"/>
      <c r="Q1193" s="160"/>
      <c r="R1193" s="160"/>
      <c r="S1193" s="160"/>
      <c r="T1193" s="160"/>
      <c r="U1193" s="160"/>
      <c r="V1193" s="160"/>
      <c r="W1193" s="160"/>
      <c r="X1193" s="160"/>
      <c r="Y1193" s="160"/>
      <c r="Z1193" s="160"/>
      <c r="AA1193" s="160"/>
      <c r="AB1193" s="160"/>
      <c r="AC1193" s="160"/>
      <c r="AD1193" s="160"/>
      <c r="AE1193" s="160"/>
      <c r="AF1193" s="160"/>
      <c r="AG1193" s="160"/>
      <c r="AH1193" s="160"/>
      <c r="AI1193" s="160"/>
      <c r="AJ1193" s="160"/>
      <c r="AK1193" s="160"/>
      <c r="AL1193" s="160"/>
      <c r="AM1193" s="160"/>
      <c r="AN1193" s="160"/>
      <c r="AO1193" s="160"/>
      <c r="AP1193" s="160"/>
      <c r="AQ1193" s="160"/>
      <c r="AR1193" s="160"/>
      <c r="AS1193" s="160"/>
      <c r="AT1193" s="160"/>
    </row>
    <row r="1194" spans="2:46">
      <c r="B1194" s="170"/>
      <c r="C1194" s="171"/>
      <c r="D1194" s="179"/>
      <c r="E1194"/>
      <c r="F1194"/>
      <c r="G1194"/>
      <c r="H1194" s="160"/>
      <c r="I1194" s="160"/>
      <c r="J1194" s="160"/>
      <c r="K1194" s="160"/>
      <c r="L1194" s="160"/>
      <c r="M1194" s="160"/>
      <c r="N1194" s="160"/>
      <c r="O1194" s="160"/>
      <c r="P1194" s="160"/>
      <c r="Q1194" s="160"/>
      <c r="R1194" s="160"/>
      <c r="S1194" s="160"/>
      <c r="T1194" s="160"/>
      <c r="U1194" s="160"/>
      <c r="V1194" s="160"/>
      <c r="W1194" s="160"/>
      <c r="X1194" s="160"/>
      <c r="Y1194" s="160"/>
      <c r="Z1194" s="160"/>
      <c r="AA1194" s="160"/>
      <c r="AB1194" s="160"/>
      <c r="AC1194" s="160"/>
      <c r="AD1194" s="160"/>
      <c r="AE1194" s="160"/>
      <c r="AF1194" s="160"/>
      <c r="AG1194" s="160"/>
      <c r="AH1194" s="160"/>
      <c r="AI1194" s="160"/>
      <c r="AJ1194" s="160"/>
      <c r="AK1194" s="160"/>
      <c r="AL1194" s="160"/>
      <c r="AM1194" s="160"/>
      <c r="AN1194" s="160"/>
      <c r="AO1194" s="160"/>
      <c r="AP1194" s="160"/>
      <c r="AQ1194" s="160"/>
      <c r="AR1194" s="160"/>
      <c r="AS1194" s="160"/>
      <c r="AT1194" s="160"/>
    </row>
    <row r="1195" spans="2:46">
      <c r="B1195" s="170"/>
      <c r="C1195" s="171"/>
      <c r="D1195" s="179"/>
      <c r="E1195"/>
      <c r="F1195"/>
      <c r="G1195"/>
      <c r="H1195" s="160"/>
      <c r="I1195" s="160"/>
      <c r="J1195" s="160"/>
      <c r="K1195" s="160"/>
      <c r="L1195" s="160"/>
      <c r="M1195" s="160"/>
      <c r="N1195" s="160"/>
      <c r="O1195" s="160"/>
      <c r="P1195" s="160"/>
      <c r="Q1195" s="160"/>
      <c r="R1195" s="160"/>
      <c r="S1195" s="160"/>
      <c r="T1195" s="160"/>
      <c r="U1195" s="160"/>
      <c r="V1195" s="160"/>
      <c r="W1195" s="160"/>
      <c r="X1195" s="160"/>
      <c r="Y1195" s="160"/>
      <c r="Z1195" s="160"/>
      <c r="AA1195" s="160"/>
      <c r="AB1195" s="160"/>
      <c r="AC1195" s="160"/>
      <c r="AD1195" s="160"/>
      <c r="AE1195" s="160"/>
      <c r="AF1195" s="160"/>
      <c r="AG1195" s="160"/>
      <c r="AH1195" s="160"/>
      <c r="AI1195" s="160"/>
      <c r="AJ1195" s="160"/>
      <c r="AK1195" s="160"/>
      <c r="AL1195" s="160"/>
      <c r="AM1195" s="160"/>
      <c r="AN1195" s="160"/>
      <c r="AO1195" s="160"/>
      <c r="AP1195" s="160"/>
      <c r="AQ1195" s="160"/>
      <c r="AR1195" s="160"/>
      <c r="AS1195" s="160"/>
      <c r="AT1195" s="160"/>
    </row>
    <row r="1196" spans="2:46">
      <c r="B1196" s="170"/>
      <c r="C1196" s="171"/>
      <c r="D1196" s="179"/>
      <c r="E1196"/>
      <c r="F1196"/>
      <c r="G1196"/>
      <c r="H1196" s="160"/>
      <c r="I1196" s="160"/>
      <c r="J1196" s="160"/>
      <c r="K1196" s="160"/>
      <c r="L1196" s="160"/>
      <c r="M1196" s="160"/>
      <c r="N1196" s="160"/>
      <c r="O1196" s="160"/>
      <c r="P1196" s="160"/>
      <c r="Q1196" s="160"/>
      <c r="R1196" s="160"/>
      <c r="S1196" s="160"/>
      <c r="T1196" s="160"/>
      <c r="U1196" s="160"/>
      <c r="V1196" s="160"/>
      <c r="W1196" s="160"/>
      <c r="X1196" s="160"/>
      <c r="Y1196" s="160"/>
      <c r="Z1196" s="160"/>
      <c r="AA1196" s="160"/>
      <c r="AB1196" s="160"/>
      <c r="AC1196" s="160"/>
      <c r="AD1196" s="160"/>
      <c r="AE1196" s="160"/>
      <c r="AF1196" s="160"/>
      <c r="AG1196" s="160"/>
      <c r="AH1196" s="160"/>
      <c r="AI1196" s="160"/>
      <c r="AJ1196" s="160"/>
      <c r="AK1196" s="160"/>
      <c r="AL1196" s="160"/>
      <c r="AM1196" s="160"/>
      <c r="AN1196" s="160"/>
      <c r="AO1196" s="160"/>
      <c r="AP1196" s="160"/>
      <c r="AQ1196" s="160"/>
      <c r="AR1196" s="160"/>
      <c r="AS1196" s="160"/>
      <c r="AT1196" s="160"/>
    </row>
    <row r="1197" spans="2:46">
      <c r="B1197" s="170"/>
      <c r="C1197" s="171"/>
      <c r="D1197" s="179"/>
      <c r="E1197"/>
      <c r="F1197"/>
      <c r="G1197"/>
      <c r="H1197" s="160"/>
      <c r="I1197" s="160"/>
      <c r="J1197" s="160"/>
      <c r="K1197" s="160"/>
      <c r="L1197" s="160"/>
      <c r="M1197" s="160"/>
      <c r="N1197" s="160"/>
      <c r="O1197" s="160"/>
      <c r="P1197" s="160"/>
      <c r="Q1197" s="160"/>
      <c r="R1197" s="160"/>
      <c r="S1197" s="160"/>
      <c r="T1197" s="160"/>
      <c r="U1197" s="160"/>
      <c r="V1197" s="160"/>
      <c r="W1197" s="160"/>
      <c r="X1197" s="160"/>
      <c r="Y1197" s="160"/>
      <c r="Z1197" s="160"/>
      <c r="AA1197" s="160"/>
      <c r="AB1197" s="160"/>
      <c r="AC1197" s="160"/>
      <c r="AD1197" s="160"/>
      <c r="AE1197" s="160"/>
      <c r="AF1197" s="160"/>
      <c r="AG1197" s="160"/>
      <c r="AH1197" s="160"/>
      <c r="AI1197" s="160"/>
      <c r="AJ1197" s="160"/>
      <c r="AK1197" s="160"/>
      <c r="AL1197" s="160"/>
      <c r="AM1197" s="160"/>
      <c r="AN1197" s="160"/>
      <c r="AO1197" s="160"/>
      <c r="AP1197" s="160"/>
      <c r="AQ1197" s="160"/>
      <c r="AR1197" s="160"/>
      <c r="AS1197" s="160"/>
      <c r="AT1197" s="160"/>
    </row>
    <row r="1198" spans="2:46">
      <c r="B1198" s="170"/>
      <c r="C1198" s="171"/>
      <c r="D1198" s="179"/>
      <c r="E1198"/>
      <c r="F1198"/>
      <c r="G1198"/>
      <c r="H1198" s="160"/>
      <c r="I1198" s="160"/>
      <c r="J1198" s="160"/>
      <c r="K1198" s="160"/>
      <c r="L1198" s="160"/>
      <c r="M1198" s="160"/>
      <c r="N1198" s="160"/>
      <c r="O1198" s="160"/>
      <c r="P1198" s="160"/>
      <c r="Q1198" s="160"/>
      <c r="R1198" s="160"/>
      <c r="S1198" s="160"/>
      <c r="T1198" s="160"/>
      <c r="U1198" s="160"/>
      <c r="V1198" s="160"/>
      <c r="W1198" s="160"/>
      <c r="X1198" s="160"/>
      <c r="Y1198" s="160"/>
      <c r="Z1198" s="160"/>
      <c r="AA1198" s="160"/>
      <c r="AB1198" s="160"/>
      <c r="AC1198" s="160"/>
      <c r="AD1198" s="160"/>
      <c r="AE1198" s="160"/>
      <c r="AF1198" s="160"/>
      <c r="AG1198" s="160"/>
      <c r="AH1198" s="160"/>
      <c r="AI1198" s="160"/>
      <c r="AJ1198" s="160"/>
      <c r="AK1198" s="160"/>
      <c r="AL1198" s="160"/>
      <c r="AM1198" s="160"/>
      <c r="AN1198" s="160"/>
      <c r="AO1198" s="160"/>
      <c r="AP1198" s="160"/>
      <c r="AQ1198" s="160"/>
      <c r="AR1198" s="160"/>
      <c r="AS1198" s="160"/>
      <c r="AT1198" s="160"/>
    </row>
    <row r="1199" spans="2:46">
      <c r="B1199" s="170"/>
      <c r="C1199" s="170"/>
      <c r="D1199" s="87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</row>
    <row r="1200" spans="2:46">
      <c r="B1200" s="170"/>
      <c r="C1200" s="170"/>
      <c r="D1200" s="87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</row>
    <row r="1201" spans="2:46">
      <c r="B1201" s="170"/>
      <c r="C1201" s="171"/>
      <c r="D1201" s="179"/>
      <c r="E1201"/>
      <c r="F1201"/>
      <c r="G1201"/>
      <c r="H1201" s="160"/>
      <c r="I1201" s="160"/>
      <c r="J1201" s="160"/>
      <c r="K1201" s="160"/>
      <c r="L1201" s="160"/>
      <c r="M1201" s="160"/>
      <c r="N1201" s="160"/>
      <c r="O1201" s="160"/>
      <c r="P1201" s="160"/>
      <c r="Q1201" s="160"/>
      <c r="R1201" s="160"/>
      <c r="S1201" s="160"/>
      <c r="T1201" s="160"/>
      <c r="U1201" s="160"/>
      <c r="V1201" s="160"/>
      <c r="W1201" s="160"/>
      <c r="X1201" s="160"/>
      <c r="Y1201" s="160"/>
      <c r="Z1201" s="160"/>
      <c r="AA1201" s="160"/>
      <c r="AB1201" s="160"/>
      <c r="AC1201" s="160"/>
      <c r="AD1201" s="160"/>
      <c r="AE1201" s="160"/>
      <c r="AF1201" s="160"/>
      <c r="AG1201" s="160"/>
      <c r="AH1201" s="160"/>
      <c r="AI1201" s="160"/>
      <c r="AJ1201" s="160"/>
      <c r="AK1201" s="160"/>
      <c r="AL1201" s="160"/>
      <c r="AM1201" s="160"/>
      <c r="AN1201" s="160"/>
      <c r="AO1201" s="160"/>
      <c r="AP1201" s="160"/>
      <c r="AQ1201" s="160"/>
      <c r="AR1201" s="160"/>
      <c r="AS1201" s="160"/>
      <c r="AT1201" s="160"/>
    </row>
    <row r="1202" spans="2:46">
      <c r="B1202" s="170"/>
      <c r="C1202" s="171"/>
      <c r="D1202" s="179"/>
      <c r="E1202"/>
      <c r="F1202"/>
      <c r="G1202"/>
      <c r="H1202" s="160"/>
      <c r="I1202" s="160"/>
      <c r="J1202" s="160"/>
      <c r="K1202" s="160"/>
      <c r="L1202" s="160"/>
      <c r="M1202" s="160"/>
      <c r="N1202" s="160"/>
      <c r="O1202" s="160"/>
      <c r="P1202" s="160"/>
      <c r="Q1202" s="160"/>
      <c r="R1202" s="160"/>
      <c r="S1202" s="160"/>
      <c r="T1202" s="160"/>
      <c r="U1202" s="160"/>
      <c r="V1202" s="160"/>
      <c r="W1202" s="160"/>
      <c r="X1202" s="160"/>
      <c r="Y1202" s="160"/>
      <c r="Z1202" s="160"/>
      <c r="AA1202" s="160"/>
      <c r="AB1202" s="160"/>
      <c r="AC1202" s="160"/>
      <c r="AD1202" s="160"/>
      <c r="AE1202" s="160"/>
      <c r="AF1202" s="160"/>
      <c r="AG1202" s="160"/>
      <c r="AH1202" s="160"/>
      <c r="AI1202" s="160"/>
      <c r="AJ1202" s="160"/>
      <c r="AK1202" s="160"/>
      <c r="AL1202" s="160"/>
      <c r="AM1202" s="160"/>
      <c r="AN1202" s="160"/>
      <c r="AO1202" s="160"/>
      <c r="AP1202" s="160"/>
      <c r="AQ1202" s="160"/>
      <c r="AR1202" s="160"/>
      <c r="AS1202" s="160"/>
      <c r="AT1202" s="160"/>
    </row>
    <row r="1203" spans="2:46">
      <c r="B1203" s="170"/>
      <c r="C1203" s="171"/>
      <c r="D1203" s="179"/>
      <c r="E1203"/>
      <c r="F1203"/>
      <c r="G1203"/>
      <c r="H1203" s="160"/>
      <c r="I1203" s="160"/>
      <c r="J1203" s="160"/>
      <c r="K1203" s="160"/>
      <c r="L1203" s="160"/>
      <c r="M1203" s="160"/>
      <c r="N1203" s="160"/>
      <c r="O1203" s="160"/>
      <c r="P1203" s="160"/>
      <c r="Q1203" s="160"/>
      <c r="R1203" s="160"/>
      <c r="S1203" s="160"/>
      <c r="T1203" s="160"/>
      <c r="U1203" s="160"/>
      <c r="V1203" s="160"/>
      <c r="W1203" s="160"/>
      <c r="X1203" s="160"/>
      <c r="Y1203" s="160"/>
      <c r="Z1203" s="160"/>
      <c r="AA1203" s="160"/>
      <c r="AB1203" s="160"/>
      <c r="AC1203" s="160"/>
      <c r="AD1203" s="160"/>
      <c r="AE1203" s="160"/>
      <c r="AF1203" s="160"/>
      <c r="AG1203" s="160"/>
      <c r="AH1203" s="160"/>
      <c r="AI1203" s="160"/>
      <c r="AJ1203" s="160"/>
      <c r="AK1203" s="160"/>
      <c r="AL1203" s="160"/>
      <c r="AM1203" s="160"/>
      <c r="AN1203" s="160"/>
      <c r="AO1203" s="160"/>
      <c r="AP1203" s="160"/>
      <c r="AQ1203" s="160"/>
      <c r="AR1203" s="160"/>
      <c r="AS1203" s="160"/>
      <c r="AT1203" s="160"/>
    </row>
    <row r="1204" spans="2:46">
      <c r="B1204" s="170"/>
      <c r="C1204" s="171"/>
      <c r="D1204" s="179"/>
      <c r="E1204"/>
      <c r="F1204"/>
      <c r="G1204"/>
      <c r="H1204" s="160"/>
      <c r="I1204" s="160"/>
      <c r="J1204" s="160"/>
      <c r="K1204" s="160"/>
      <c r="L1204" s="160"/>
      <c r="M1204" s="160"/>
      <c r="N1204" s="160"/>
      <c r="O1204" s="160"/>
      <c r="P1204" s="160"/>
      <c r="Q1204" s="160"/>
      <c r="R1204" s="160"/>
      <c r="S1204" s="160"/>
      <c r="T1204" s="160"/>
      <c r="U1204" s="160"/>
      <c r="V1204" s="160"/>
      <c r="W1204" s="160"/>
      <c r="X1204" s="160"/>
      <c r="Y1204" s="160"/>
      <c r="Z1204" s="160"/>
      <c r="AA1204" s="160"/>
      <c r="AB1204" s="160"/>
      <c r="AC1204" s="160"/>
      <c r="AD1204" s="160"/>
      <c r="AE1204" s="160"/>
      <c r="AF1204" s="160"/>
      <c r="AG1204" s="160"/>
      <c r="AH1204" s="160"/>
      <c r="AI1204" s="160"/>
      <c r="AJ1204" s="160"/>
      <c r="AK1204" s="160"/>
      <c r="AL1204" s="160"/>
      <c r="AM1204" s="160"/>
      <c r="AN1204" s="160"/>
      <c r="AO1204" s="160"/>
      <c r="AP1204" s="160"/>
      <c r="AQ1204" s="160"/>
      <c r="AR1204" s="160"/>
      <c r="AS1204" s="160"/>
      <c r="AT1204" s="160"/>
    </row>
    <row r="1205" spans="2:46">
      <c r="B1205" s="170"/>
      <c r="C1205" s="171"/>
      <c r="D1205" s="179"/>
      <c r="E1205"/>
      <c r="F1205"/>
      <c r="G1205"/>
      <c r="H1205" s="160"/>
      <c r="I1205" s="160"/>
      <c r="J1205" s="160"/>
      <c r="K1205" s="160"/>
      <c r="L1205" s="160"/>
      <c r="M1205" s="160"/>
      <c r="N1205" s="160"/>
      <c r="O1205" s="160"/>
      <c r="P1205" s="160"/>
      <c r="Q1205" s="160"/>
      <c r="R1205" s="160"/>
      <c r="S1205" s="160"/>
      <c r="T1205" s="160"/>
      <c r="U1205" s="160"/>
      <c r="V1205" s="160"/>
      <c r="W1205" s="160"/>
      <c r="X1205" s="160"/>
      <c r="Y1205" s="160"/>
      <c r="Z1205" s="160"/>
      <c r="AA1205" s="160"/>
      <c r="AB1205" s="160"/>
      <c r="AC1205" s="160"/>
      <c r="AD1205" s="160"/>
      <c r="AE1205" s="160"/>
      <c r="AF1205" s="160"/>
      <c r="AG1205" s="160"/>
      <c r="AH1205" s="160"/>
      <c r="AI1205" s="160"/>
      <c r="AJ1205" s="160"/>
      <c r="AK1205" s="160"/>
      <c r="AL1205" s="160"/>
      <c r="AM1205" s="160"/>
      <c r="AN1205" s="160"/>
      <c r="AO1205" s="160"/>
      <c r="AP1205" s="160"/>
      <c r="AQ1205" s="160"/>
      <c r="AR1205" s="160"/>
      <c r="AS1205" s="160"/>
      <c r="AT1205" s="160"/>
    </row>
    <row r="1206" spans="2:46">
      <c r="B1206" s="170"/>
      <c r="C1206" s="170"/>
      <c r="D1206" s="87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</row>
  </sheetData>
  <autoFilter ref="A2:AV1206">
    <filterColumn colId="5" showButton="0"/>
  </autoFilter>
  <mergeCells count="3">
    <mergeCell ref="A1:A2"/>
    <mergeCell ref="B1:B2"/>
    <mergeCell ref="F2:G2"/>
  </mergeCells>
  <conditionalFormatting sqref="B1207:B1048576 B1:B1136">
    <cfRule type="duplicateValues" dxfId="22" priority="13"/>
  </conditionalFormatting>
  <conditionalFormatting sqref="B1137">
    <cfRule type="duplicateValues" dxfId="21" priority="12"/>
  </conditionalFormatting>
  <conditionalFormatting sqref="B1138:B1139">
    <cfRule type="duplicateValues" dxfId="20" priority="11"/>
  </conditionalFormatting>
  <conditionalFormatting sqref="B1140:B1141">
    <cfRule type="duplicateValues" dxfId="19" priority="9"/>
  </conditionalFormatting>
  <conditionalFormatting sqref="B1142:B1145">
    <cfRule type="duplicateValues" dxfId="18" priority="8"/>
  </conditionalFormatting>
  <conditionalFormatting sqref="B1146:B1151">
    <cfRule type="duplicateValues" dxfId="17" priority="7"/>
  </conditionalFormatting>
  <conditionalFormatting sqref="B1152:B1153">
    <cfRule type="duplicateValues" dxfId="16" priority="5"/>
  </conditionalFormatting>
  <conditionalFormatting sqref="B1154:B1156">
    <cfRule type="duplicateValues" dxfId="15" priority="4"/>
  </conditionalFormatting>
  <conditionalFormatting sqref="B1157">
    <cfRule type="duplicateValues" dxfId="14" priority="3"/>
  </conditionalFormatting>
  <conditionalFormatting sqref="B1158">
    <cfRule type="duplicateValues" dxfId="13" priority="2"/>
  </conditionalFormatting>
  <conditionalFormatting sqref="B1159">
    <cfRule type="duplicateValues" dxfId="12" priority="1"/>
  </conditionalFormatting>
  <pageMargins left="0.70866141732283472" right="0.70866141732283472" top="0.28999999999999998" bottom="0.24" header="0.31496062992125984" footer="0.31496062992125984"/>
  <pageSetup paperSize="9" scale="8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Q99"/>
  <sheetViews>
    <sheetView topLeftCell="A13" zoomScale="85" zoomScaleNormal="85" workbookViewId="0">
      <selection activeCell="C22" sqref="C22"/>
    </sheetView>
  </sheetViews>
  <sheetFormatPr defaultRowHeight="15"/>
  <cols>
    <col min="1" max="1" width="9.140625" style="22"/>
    <col min="2" max="2" width="17.140625" style="22" customWidth="1"/>
    <col min="3" max="3" width="33.85546875" style="22" customWidth="1"/>
    <col min="4" max="4" width="9" style="22" hidden="1" customWidth="1"/>
    <col min="5" max="6" width="5.7109375" style="22" hidden="1" customWidth="1"/>
    <col min="7" max="7" width="7" style="22" hidden="1" customWidth="1"/>
    <col min="8" max="8" width="5" style="22" hidden="1" customWidth="1"/>
    <col min="9" max="9" width="9" style="22" hidden="1" customWidth="1"/>
    <col min="10" max="10" width="9.42578125" style="22" hidden="1" customWidth="1"/>
    <col min="11" max="11" width="5" style="22" hidden="1" customWidth="1"/>
    <col min="12" max="14" width="13.85546875" style="22" hidden="1" customWidth="1"/>
    <col min="15" max="16" width="9.5703125" style="22" hidden="1" customWidth="1"/>
    <col min="17" max="17" width="8" style="22" hidden="1" customWidth="1"/>
    <col min="18" max="18" width="16.140625" style="22" hidden="1" customWidth="1"/>
    <col min="19" max="20" width="5" style="22" hidden="1" customWidth="1"/>
    <col min="21" max="21" width="19.28515625" style="22" hidden="1" customWidth="1"/>
    <col min="22" max="22" width="26.42578125" style="22" hidden="1" customWidth="1"/>
    <col min="23" max="23" width="15.7109375" style="22" hidden="1" customWidth="1"/>
    <col min="24" max="25" width="5" style="22" hidden="1" customWidth="1"/>
    <col min="26" max="26" width="6.140625" style="22" hidden="1" customWidth="1"/>
    <col min="27" max="27" width="12.7109375" style="22" hidden="1" customWidth="1"/>
    <col min="28" max="29" width="5" style="22" hidden="1" customWidth="1"/>
    <col min="30" max="34" width="9.42578125" style="22" hidden="1" customWidth="1"/>
    <col min="35" max="35" width="13.28515625" style="22" hidden="1" customWidth="1"/>
    <col min="36" max="36" width="19.140625" style="22" hidden="1" customWidth="1"/>
    <col min="37" max="38" width="9.42578125" style="22" hidden="1" customWidth="1"/>
    <col min="39" max="39" width="9.7109375" style="22" hidden="1" customWidth="1"/>
    <col min="40" max="40" width="9" style="22" hidden="1" customWidth="1"/>
    <col min="41" max="41" width="15.5703125" style="257" customWidth="1"/>
    <col min="42" max="43" width="5" style="22" customWidth="1"/>
    <col min="44" max="16384" width="9.140625" style="22"/>
  </cols>
  <sheetData>
    <row r="1" spans="1:41" ht="63" customHeight="1" thickBot="1">
      <c r="A1" s="315" t="s">
        <v>107</v>
      </c>
      <c r="B1" s="316"/>
      <c r="C1" s="316"/>
      <c r="AJ1" s="192"/>
    </row>
    <row r="2" spans="1:41" ht="15.75" customHeight="1" thickBot="1">
      <c r="A2" s="317" t="s">
        <v>7</v>
      </c>
      <c r="B2" s="317"/>
      <c r="C2" s="317"/>
      <c r="D2" s="46" t="s">
        <v>57</v>
      </c>
      <c r="I2" s="46" t="s">
        <v>56</v>
      </c>
      <c r="J2" s="46" t="s">
        <v>58</v>
      </c>
      <c r="L2" s="318" t="s">
        <v>68</v>
      </c>
      <c r="M2" s="318" t="s">
        <v>70</v>
      </c>
      <c r="N2" s="318" t="s">
        <v>71</v>
      </c>
      <c r="AD2" s="143" t="s">
        <v>126</v>
      </c>
      <c r="AE2" s="157" t="s">
        <v>128</v>
      </c>
      <c r="AF2" s="157" t="s">
        <v>131</v>
      </c>
      <c r="AG2" s="157" t="s">
        <v>133</v>
      </c>
      <c r="AH2" s="169" t="s">
        <v>135</v>
      </c>
      <c r="AI2" s="184" t="s">
        <v>138</v>
      </c>
      <c r="AJ2" s="193" t="s">
        <v>146</v>
      </c>
      <c r="AK2" s="212" t="s">
        <v>152</v>
      </c>
      <c r="AL2" s="214" t="s">
        <v>154</v>
      </c>
      <c r="AM2" s="219" t="s">
        <v>158</v>
      </c>
      <c r="AN2" s="237" t="s">
        <v>160</v>
      </c>
      <c r="AO2" s="258" t="s">
        <v>163</v>
      </c>
    </row>
    <row r="3" spans="1:41" ht="45" customHeight="1" thickBot="1">
      <c r="A3" s="51" t="s">
        <v>47</v>
      </c>
      <c r="B3" s="51" t="s">
        <v>29</v>
      </c>
      <c r="C3" s="120" t="s">
        <v>46</v>
      </c>
      <c r="E3" s="37" t="s">
        <v>51</v>
      </c>
      <c r="F3" s="38" t="s">
        <v>54</v>
      </c>
      <c r="G3" s="61" t="s">
        <v>53</v>
      </c>
      <c r="L3" s="319"/>
      <c r="M3" s="319"/>
      <c r="N3" s="319"/>
      <c r="O3" s="14" t="s">
        <v>60</v>
      </c>
      <c r="P3" s="14" t="s">
        <v>61</v>
      </c>
      <c r="R3" s="67" t="s">
        <v>72</v>
      </c>
      <c r="U3" s="111" t="s">
        <v>74</v>
      </c>
      <c r="V3" s="75" t="s">
        <v>73</v>
      </c>
      <c r="AC3" s="127"/>
      <c r="AJ3" s="192"/>
    </row>
    <row r="4" spans="1:41" s="44" customFormat="1" ht="15.75" customHeight="1" thickBot="1">
      <c r="A4" s="69">
        <v>1</v>
      </c>
      <c r="B4" s="70">
        <v>6</v>
      </c>
      <c r="C4" s="128" t="s">
        <v>49</v>
      </c>
      <c r="D4" s="44">
        <v>4120</v>
      </c>
      <c r="E4" s="42">
        <v>1</v>
      </c>
      <c r="F4" s="43">
        <v>-280</v>
      </c>
      <c r="G4" s="44">
        <v>0</v>
      </c>
      <c r="I4" s="44">
        <v>50</v>
      </c>
      <c r="J4" s="45">
        <f>D4-I4</f>
        <v>4070</v>
      </c>
      <c r="K4" s="45"/>
      <c r="L4" s="64">
        <f>235+20</f>
        <v>255</v>
      </c>
      <c r="M4" s="64"/>
      <c r="N4" s="64">
        <f>190+35</f>
        <v>225</v>
      </c>
      <c r="O4" s="64"/>
      <c r="P4" s="64"/>
      <c r="Q4" s="44" t="s">
        <v>75</v>
      </c>
      <c r="R4" s="320" t="s">
        <v>49</v>
      </c>
      <c r="S4" s="321"/>
      <c r="T4" s="322"/>
      <c r="U4" s="74">
        <f>300*10*1.73</f>
        <v>5190</v>
      </c>
      <c r="V4" s="44">
        <f>U4-U14</f>
        <v>3354</v>
      </c>
      <c r="AC4" s="127"/>
      <c r="AE4" s="44">
        <v>380</v>
      </c>
      <c r="AF4" s="44">
        <v>150</v>
      </c>
      <c r="AG4" s="44">
        <v>50</v>
      </c>
      <c r="AI4" s="44">
        <v>150</v>
      </c>
      <c r="AJ4" s="194">
        <f>16</f>
        <v>16</v>
      </c>
      <c r="AK4" s="44">
        <v>18</v>
      </c>
      <c r="AL4" s="44">
        <v>50</v>
      </c>
      <c r="AM4" s="44">
        <f>150</f>
        <v>150</v>
      </c>
      <c r="AN4" s="44">
        <f>626.1+50</f>
        <v>676.1</v>
      </c>
      <c r="AO4" s="259">
        <f>30</f>
        <v>30</v>
      </c>
    </row>
    <row r="5" spans="1:41" s="44" customFormat="1" ht="15" customHeight="1" thickBot="1">
      <c r="A5" s="71">
        <v>2</v>
      </c>
      <c r="B5" s="72">
        <v>6</v>
      </c>
      <c r="C5" s="128" t="s">
        <v>49</v>
      </c>
      <c r="E5" s="42">
        <v>2</v>
      </c>
      <c r="F5" s="43">
        <v>-160</v>
      </c>
      <c r="G5" s="44">
        <v>15</v>
      </c>
      <c r="I5" s="45"/>
      <c r="J5" s="45">
        <f t="shared" ref="J5:J8" si="0">D5-I5</f>
        <v>0</v>
      </c>
      <c r="K5" s="45"/>
      <c r="L5" s="64"/>
      <c r="M5" s="64"/>
      <c r="N5" s="64">
        <f>16+37.5+40</f>
        <v>93.5</v>
      </c>
      <c r="O5" s="64">
        <f>50+160+16.6</f>
        <v>226.6</v>
      </c>
      <c r="P5" s="64"/>
      <c r="Q5" s="44" t="s">
        <v>76</v>
      </c>
      <c r="R5" s="320" t="s">
        <v>49</v>
      </c>
      <c r="S5" s="321"/>
      <c r="T5" s="322"/>
      <c r="U5" s="74">
        <f>800*10*1.73</f>
        <v>13840</v>
      </c>
      <c r="V5" s="44">
        <f>U5-X13-X14-800-1400-U14-X16-100</f>
        <v>1874</v>
      </c>
      <c r="AC5" s="127"/>
      <c r="AD5" s="44">
        <f>20</f>
        <v>20</v>
      </c>
      <c r="AE5" s="44">
        <f>30+25</f>
        <v>55</v>
      </c>
      <c r="AF5" s="44">
        <v>149</v>
      </c>
      <c r="AG5" s="44">
        <v>180</v>
      </c>
      <c r="AJ5" s="194"/>
      <c r="AO5" s="259"/>
    </row>
    <row r="6" spans="1:41" s="44" customFormat="1" ht="15" customHeight="1" thickBot="1">
      <c r="A6" s="71">
        <v>3</v>
      </c>
      <c r="B6" s="72">
        <v>6</v>
      </c>
      <c r="C6" s="128" t="s">
        <v>49</v>
      </c>
      <c r="E6" s="42">
        <v>3</v>
      </c>
      <c r="F6" s="43">
        <v>-260</v>
      </c>
      <c r="G6" s="44">
        <v>0</v>
      </c>
      <c r="I6" s="45"/>
      <c r="J6" s="45">
        <f t="shared" si="0"/>
        <v>0</v>
      </c>
      <c r="K6" s="45"/>
      <c r="L6" s="64"/>
      <c r="M6" s="64">
        <v>151</v>
      </c>
      <c r="N6" s="64"/>
      <c r="O6" s="64">
        <v>75</v>
      </c>
      <c r="P6" s="64"/>
      <c r="Q6" s="44" t="s">
        <v>77</v>
      </c>
      <c r="R6" s="320" t="s">
        <v>49</v>
      </c>
      <c r="S6" s="321"/>
      <c r="T6" s="322"/>
      <c r="U6" s="74">
        <f t="shared" ref="U6" si="1">300*10*1.73</f>
        <v>5190</v>
      </c>
      <c r="V6" s="44">
        <f>U6-1400-X15</f>
        <v>1966</v>
      </c>
      <c r="AC6" s="127"/>
      <c r="AD6" s="44">
        <f>80+100+25</f>
        <v>205</v>
      </c>
      <c r="AE6" s="44">
        <f>150+100+21</f>
        <v>271</v>
      </c>
      <c r="AF6" s="44">
        <v>182</v>
      </c>
      <c r="AG6" s="44">
        <v>551</v>
      </c>
      <c r="AH6" s="44">
        <f>300</f>
        <v>300</v>
      </c>
      <c r="AJ6" s="194">
        <f>290</f>
        <v>290</v>
      </c>
      <c r="AK6" s="44">
        <f>30+40</f>
        <v>70</v>
      </c>
      <c r="AN6" s="44">
        <f>100+150+223.5</f>
        <v>473.5</v>
      </c>
      <c r="AO6" s="259">
        <f>188.2</f>
        <v>188.2</v>
      </c>
    </row>
    <row r="7" spans="1:41" s="44" customFormat="1" ht="15.75" customHeight="1" thickBot="1">
      <c r="A7" s="71">
        <v>4</v>
      </c>
      <c r="B7" s="72">
        <v>6</v>
      </c>
      <c r="C7" s="128" t="s">
        <v>49</v>
      </c>
      <c r="E7" s="42">
        <v>4</v>
      </c>
      <c r="F7" s="43">
        <v>-260</v>
      </c>
      <c r="G7" s="44">
        <v>155</v>
      </c>
      <c r="I7" s="45"/>
      <c r="J7" s="45">
        <f t="shared" si="0"/>
        <v>0</v>
      </c>
      <c r="K7" s="45"/>
      <c r="L7" s="64">
        <v>95</v>
      </c>
      <c r="M7" s="64"/>
      <c r="N7" s="64">
        <v>40</v>
      </c>
      <c r="O7" s="64"/>
      <c r="P7" s="64"/>
      <c r="Q7" s="44" t="s">
        <v>78</v>
      </c>
      <c r="R7" s="320" t="s">
        <v>49</v>
      </c>
      <c r="S7" s="321"/>
      <c r="T7" s="322"/>
      <c r="U7" s="74">
        <f>600*10*1.73</f>
        <v>10380</v>
      </c>
      <c r="V7" s="44">
        <f>U7-U21-600-600-600-300-152</f>
        <v>7542</v>
      </c>
      <c r="AA7" s="44" t="s">
        <v>113</v>
      </c>
      <c r="AC7" s="127"/>
      <c r="AG7" s="44">
        <v>5</v>
      </c>
      <c r="AI7" s="44">
        <v>16</v>
      </c>
      <c r="AJ7" s="194"/>
      <c r="AK7" s="44">
        <v>1400</v>
      </c>
      <c r="AN7" s="44">
        <f>100</f>
        <v>100</v>
      </c>
      <c r="AO7" s="259"/>
    </row>
    <row r="8" spans="1:41" s="44" customFormat="1" ht="15" customHeight="1" thickBot="1">
      <c r="A8" s="71" t="s">
        <v>48</v>
      </c>
      <c r="B8" s="72">
        <v>10</v>
      </c>
      <c r="C8" s="128" t="s">
        <v>49</v>
      </c>
      <c r="E8" s="42" t="s">
        <v>48</v>
      </c>
      <c r="F8" s="43">
        <v>-106</v>
      </c>
      <c r="G8" s="44">
        <v>100</v>
      </c>
      <c r="I8" s="45"/>
      <c r="J8" s="45">
        <f t="shared" si="0"/>
        <v>0</v>
      </c>
      <c r="K8" s="45"/>
      <c r="L8" s="64">
        <f>40+300</f>
        <v>340</v>
      </c>
      <c r="M8" s="64"/>
      <c r="N8" s="64"/>
      <c r="O8" s="64"/>
      <c r="P8" s="64"/>
      <c r="Q8" s="44" t="s">
        <v>79</v>
      </c>
      <c r="R8" s="320" t="s">
        <v>49</v>
      </c>
      <c r="S8" s="321"/>
      <c r="T8" s="322"/>
      <c r="U8" s="74">
        <f>300*6*1.73</f>
        <v>3114</v>
      </c>
      <c r="V8" s="44">
        <f>U8-U19</f>
        <v>2688</v>
      </c>
      <c r="AE8" s="44">
        <v>60</v>
      </c>
      <c r="AG8" s="44">
        <v>148</v>
      </c>
      <c r="AI8" s="44">
        <v>45</v>
      </c>
      <c r="AJ8" s="194"/>
      <c r="AO8" s="259"/>
    </row>
    <row r="9" spans="1:41" s="44" customFormat="1" ht="15.75" customHeight="1" thickBot="1">
      <c r="A9" s="71">
        <v>5</v>
      </c>
      <c r="B9" s="72">
        <v>6</v>
      </c>
      <c r="C9" s="128" t="s">
        <v>49</v>
      </c>
      <c r="E9" s="42">
        <v>5</v>
      </c>
      <c r="F9" s="43">
        <v>-160</v>
      </c>
      <c r="G9" s="44">
        <v>0</v>
      </c>
      <c r="I9" s="45"/>
      <c r="J9" s="45">
        <f t="shared" ref="J9:J20" si="2">D9-I9</f>
        <v>0</v>
      </c>
      <c r="K9" s="45"/>
      <c r="L9" s="64"/>
      <c r="M9" s="64"/>
      <c r="N9" s="64"/>
      <c r="O9" s="64"/>
      <c r="P9" s="64"/>
      <c r="Q9" s="44" t="s">
        <v>80</v>
      </c>
      <c r="R9" s="320" t="s">
        <v>49</v>
      </c>
      <c r="S9" s="321"/>
      <c r="T9" s="322"/>
      <c r="U9" s="74">
        <f>300*6*1.73</f>
        <v>3114</v>
      </c>
      <c r="V9" s="44">
        <f>U9-U18</f>
        <v>3024</v>
      </c>
      <c r="AD9" s="44">
        <f>105+200</f>
        <v>305</v>
      </c>
      <c r="AE9" s="44">
        <v>100</v>
      </c>
      <c r="AJ9" s="194"/>
      <c r="AK9" s="44">
        <v>435</v>
      </c>
      <c r="AL9" s="44">
        <v>30.5</v>
      </c>
      <c r="AM9" s="44">
        <f>100</f>
        <v>100</v>
      </c>
      <c r="AN9" s="44">
        <v>45.8</v>
      </c>
      <c r="AO9" s="259">
        <f>149+50+150</f>
        <v>349</v>
      </c>
    </row>
    <row r="10" spans="1:41" s="44" customFormat="1" ht="15.75" customHeight="1" thickBot="1">
      <c r="A10" s="71">
        <v>6</v>
      </c>
      <c r="B10" s="72">
        <v>6</v>
      </c>
      <c r="C10" s="128" t="s">
        <v>49</v>
      </c>
      <c r="E10" s="42">
        <v>6</v>
      </c>
      <c r="F10" s="43">
        <v>-140</v>
      </c>
      <c r="G10" s="44">
        <v>2329.1999999999998</v>
      </c>
      <c r="I10" s="45"/>
      <c r="J10" s="45">
        <f t="shared" si="2"/>
        <v>0</v>
      </c>
      <c r="K10" s="45"/>
      <c r="L10" s="64">
        <v>19.5</v>
      </c>
      <c r="M10" s="64">
        <f>20+70</f>
        <v>90</v>
      </c>
      <c r="N10" s="64"/>
      <c r="O10" s="64"/>
      <c r="P10" s="64"/>
      <c r="Q10" s="44" t="s">
        <v>81</v>
      </c>
      <c r="R10" s="320" t="s">
        <v>49</v>
      </c>
      <c r="S10" s="321"/>
      <c r="T10" s="322"/>
      <c r="U10" s="74">
        <f>400*6*1.73</f>
        <v>4152</v>
      </c>
      <c r="V10" s="44">
        <f>U10-U15</f>
        <v>-2549</v>
      </c>
      <c r="AD10" s="44">
        <f>150</f>
        <v>150</v>
      </c>
      <c r="AE10" s="44">
        <f>100+22</f>
        <v>122</v>
      </c>
      <c r="AF10" s="44">
        <v>35</v>
      </c>
      <c r="AG10" s="44">
        <v>25</v>
      </c>
      <c r="AH10" s="44">
        <f>21.7+90</f>
        <v>111.7</v>
      </c>
      <c r="AI10" s="44">
        <f>30+80</f>
        <v>110</v>
      </c>
      <c r="AJ10" s="194">
        <f>40.5</f>
        <v>40.5</v>
      </c>
      <c r="AK10" s="44">
        <v>150</v>
      </c>
      <c r="AM10" s="44">
        <f>150</f>
        <v>150</v>
      </c>
      <c r="AO10" s="259">
        <f>50+17</f>
        <v>67</v>
      </c>
    </row>
    <row r="11" spans="1:41" s="44" customFormat="1" ht="15" customHeight="1" thickBot="1">
      <c r="A11" s="71">
        <v>7</v>
      </c>
      <c r="B11" s="72">
        <v>6</v>
      </c>
      <c r="C11" s="128" t="s">
        <v>49</v>
      </c>
      <c r="E11" s="42">
        <v>7</v>
      </c>
      <c r="F11" s="43">
        <v>-530</v>
      </c>
      <c r="G11" s="44">
        <v>0</v>
      </c>
      <c r="I11" s="45"/>
      <c r="J11" s="45">
        <f t="shared" si="2"/>
        <v>0</v>
      </c>
      <c r="K11" s="45"/>
      <c r="L11" s="64"/>
      <c r="M11" s="64"/>
      <c r="N11" s="64"/>
      <c r="O11" s="64"/>
      <c r="P11" s="64"/>
      <c r="R11" s="323" t="s">
        <v>49</v>
      </c>
      <c r="S11" s="324"/>
      <c r="T11" s="325"/>
      <c r="AJ11" s="194"/>
      <c r="AL11" s="44">
        <f>257.1</f>
        <v>257.10000000000002</v>
      </c>
      <c r="AO11" s="259"/>
    </row>
    <row r="12" spans="1:41" s="44" customFormat="1" ht="38.25" thickBot="1">
      <c r="A12" s="71">
        <v>9</v>
      </c>
      <c r="B12" s="97">
        <v>10</v>
      </c>
      <c r="C12" s="128">
        <f>202.5-AK12-AO12</f>
        <v>-1680.22</v>
      </c>
      <c r="E12" s="42">
        <v>9</v>
      </c>
      <c r="F12" s="43">
        <v>-80</v>
      </c>
      <c r="G12" s="44">
        <v>0</v>
      </c>
      <c r="I12" s="45"/>
      <c r="J12" s="45">
        <f t="shared" si="2"/>
        <v>0</v>
      </c>
      <c r="K12" s="45"/>
      <c r="L12" s="99"/>
      <c r="M12" s="99">
        <v>376</v>
      </c>
      <c r="N12" s="99">
        <v>66.8</v>
      </c>
      <c r="O12" s="99"/>
      <c r="P12" s="100"/>
      <c r="Q12" s="101" t="s">
        <v>47</v>
      </c>
      <c r="R12" s="326">
        <f>1752-160-376-66.8</f>
        <v>1149.2</v>
      </c>
      <c r="S12" s="326"/>
      <c r="T12" s="326"/>
      <c r="U12" s="101" t="s">
        <v>82</v>
      </c>
      <c r="V12" s="76"/>
      <c r="W12" s="44" t="s">
        <v>84</v>
      </c>
      <c r="AG12" s="44">
        <v>100</v>
      </c>
      <c r="AH12" s="44">
        <f>35</f>
        <v>35</v>
      </c>
      <c r="AJ12" s="194"/>
      <c r="AK12" s="44">
        <v>457.57</v>
      </c>
      <c r="AO12" s="259">
        <f>1400+25.15</f>
        <v>1425.15</v>
      </c>
    </row>
    <row r="13" spans="1:41" s="44" customFormat="1" ht="15" customHeight="1" thickBot="1">
      <c r="A13" s="71">
        <v>10</v>
      </c>
      <c r="B13" s="97">
        <v>10</v>
      </c>
      <c r="C13" s="128" t="s">
        <v>49</v>
      </c>
      <c r="E13" s="42">
        <v>10</v>
      </c>
      <c r="F13" s="43">
        <v>0</v>
      </c>
      <c r="G13" s="44">
        <v>0</v>
      </c>
      <c r="I13" s="45"/>
      <c r="J13" s="45">
        <f t="shared" si="2"/>
        <v>0</v>
      </c>
      <c r="K13" s="45"/>
      <c r="L13" s="99">
        <v>50</v>
      </c>
      <c r="M13" s="99"/>
      <c r="N13" s="99"/>
      <c r="O13" s="99">
        <f>28+40</f>
        <v>68</v>
      </c>
      <c r="P13" s="100"/>
      <c r="Q13" s="101">
        <v>22</v>
      </c>
      <c r="R13" s="326" t="s">
        <v>49</v>
      </c>
      <c r="S13" s="326"/>
      <c r="T13" s="326"/>
      <c r="U13" s="101">
        <v>918</v>
      </c>
      <c r="V13" s="76"/>
      <c r="W13" s="44" t="s">
        <v>85</v>
      </c>
      <c r="X13" s="44">
        <v>2896</v>
      </c>
      <c r="Z13" s="44" t="s">
        <v>88</v>
      </c>
      <c r="AD13" s="44">
        <f>120</f>
        <v>120</v>
      </c>
      <c r="AF13" s="44">
        <v>376</v>
      </c>
      <c r="AG13" s="44">
        <f>151+30+72</f>
        <v>253</v>
      </c>
      <c r="AJ13" s="194">
        <f>851.63+50</f>
        <v>901.63</v>
      </c>
      <c r="AM13" s="44">
        <f>339.8+400</f>
        <v>739.8</v>
      </c>
      <c r="AO13" s="259">
        <f>50+490.4+25+50</f>
        <v>615.4</v>
      </c>
    </row>
    <row r="14" spans="1:41" s="44" customFormat="1" ht="15.75" customHeight="1" thickBot="1">
      <c r="A14" s="71">
        <v>11</v>
      </c>
      <c r="B14" s="97">
        <v>10</v>
      </c>
      <c r="C14" s="128" t="s">
        <v>49</v>
      </c>
      <c r="D14" s="44">
        <v>692</v>
      </c>
      <c r="E14" s="42">
        <v>11</v>
      </c>
      <c r="F14" s="43">
        <v>-291</v>
      </c>
      <c r="G14" s="44">
        <v>17</v>
      </c>
      <c r="I14" s="65">
        <v>17</v>
      </c>
      <c r="J14" s="45">
        <f>D14-I14</f>
        <v>675</v>
      </c>
      <c r="K14" s="45"/>
      <c r="L14" s="99"/>
      <c r="M14" s="99">
        <f>50+96.5</f>
        <v>146.5</v>
      </c>
      <c r="N14" s="99"/>
      <c r="O14" s="99"/>
      <c r="P14" s="100"/>
      <c r="Q14" s="101">
        <v>32</v>
      </c>
      <c r="R14" s="326" t="s">
        <v>49</v>
      </c>
      <c r="S14" s="326"/>
      <c r="T14" s="326"/>
      <c r="U14" s="101">
        <v>1836</v>
      </c>
      <c r="V14" s="76"/>
      <c r="W14" s="44" t="s">
        <v>86</v>
      </c>
      <c r="X14" s="44">
        <v>2434</v>
      </c>
      <c r="Z14" s="44" t="s">
        <v>88</v>
      </c>
      <c r="AD14" s="44">
        <f>235.05</f>
        <v>235.05</v>
      </c>
      <c r="AG14" s="44">
        <v>273</v>
      </c>
      <c r="AH14" s="44">
        <f>112.5</f>
        <v>112.5</v>
      </c>
      <c r="AI14" s="44">
        <v>55</v>
      </c>
      <c r="AJ14" s="194">
        <f>20</f>
        <v>20</v>
      </c>
      <c r="AN14" s="44">
        <f>80+70</f>
        <v>150</v>
      </c>
      <c r="AO14" s="259">
        <f>75</f>
        <v>75</v>
      </c>
    </row>
    <row r="15" spans="1:41" s="44" customFormat="1" ht="15" customHeight="1" thickBot="1">
      <c r="A15" s="71">
        <v>12</v>
      </c>
      <c r="B15" s="97">
        <v>10</v>
      </c>
      <c r="C15" s="128" t="s">
        <v>49</v>
      </c>
      <c r="E15" s="42">
        <v>12</v>
      </c>
      <c r="F15" s="43">
        <v>-35</v>
      </c>
      <c r="G15" s="44">
        <v>90</v>
      </c>
      <c r="I15" s="45"/>
      <c r="J15" s="45">
        <f t="shared" si="2"/>
        <v>0</v>
      </c>
      <c r="K15" s="45"/>
      <c r="L15" s="99">
        <v>100</v>
      </c>
      <c r="M15" s="99"/>
      <c r="N15" s="99">
        <f>149+55+30+25</f>
        <v>259</v>
      </c>
      <c r="O15" s="99"/>
      <c r="P15" s="100"/>
      <c r="Q15" s="101">
        <v>33</v>
      </c>
      <c r="R15" s="326" t="s">
        <v>49</v>
      </c>
      <c r="S15" s="326"/>
      <c r="T15" s="326"/>
      <c r="U15" s="101">
        <v>6701</v>
      </c>
      <c r="V15" s="76"/>
      <c r="W15" s="44" t="s">
        <v>87</v>
      </c>
      <c r="X15" s="44">
        <v>1824</v>
      </c>
      <c r="Z15" s="44" t="s">
        <v>89</v>
      </c>
      <c r="AD15" s="44">
        <f>25</f>
        <v>25</v>
      </c>
      <c r="AE15" s="44">
        <f>130+58.8</f>
        <v>188.8</v>
      </c>
      <c r="AF15" s="44">
        <v>315.10000000000002</v>
      </c>
      <c r="AG15" s="44">
        <v>2958.8</v>
      </c>
      <c r="AH15" s="44">
        <f>120+35</f>
        <v>155</v>
      </c>
      <c r="AJ15" s="194">
        <f>190+130</f>
        <v>320</v>
      </c>
      <c r="AK15" s="44">
        <f>50.3+90</f>
        <v>140.30000000000001</v>
      </c>
      <c r="AL15" s="44">
        <v>520</v>
      </c>
      <c r="AN15" s="44">
        <v>16</v>
      </c>
      <c r="AO15" s="259">
        <f>30</f>
        <v>30</v>
      </c>
    </row>
    <row r="16" spans="1:41" s="44" customFormat="1" ht="19.5" thickBot="1">
      <c r="A16" s="71">
        <v>13</v>
      </c>
      <c r="B16" s="97">
        <v>10</v>
      </c>
      <c r="C16" s="128">
        <f>3449-20-170-120-70-200-30-80-370-100-240-20-300-73.6-1098.1-300-100-200-20-60-18-100-198.7-25-25-30-1183.1-AF16-AG16-AH16-400-150-50-16-AJ16-AL16-AM16-AN16-AO16</f>
        <v>-7821.13</v>
      </c>
      <c r="E16" s="42">
        <v>13</v>
      </c>
      <c r="F16" s="43">
        <v>-291</v>
      </c>
      <c r="G16" s="44">
        <v>0</v>
      </c>
      <c r="I16" s="45"/>
      <c r="J16" s="45">
        <f t="shared" si="2"/>
        <v>0</v>
      </c>
      <c r="K16" s="45"/>
      <c r="L16" s="99"/>
      <c r="M16" s="99">
        <v>70</v>
      </c>
      <c r="N16" s="99"/>
      <c r="O16" s="99"/>
      <c r="P16" s="100"/>
      <c r="Q16" s="101">
        <v>34</v>
      </c>
      <c r="R16" s="326">
        <f>3449-20-170-120-70</f>
        <v>3069</v>
      </c>
      <c r="S16" s="326"/>
      <c r="T16" s="326"/>
      <c r="U16" s="101">
        <v>4490</v>
      </c>
      <c r="V16" s="76"/>
      <c r="W16" s="44" t="s">
        <v>90</v>
      </c>
      <c r="X16" s="44">
        <v>2500</v>
      </c>
      <c r="Z16" s="44" t="s">
        <v>88</v>
      </c>
      <c r="AF16" s="44">
        <v>75</v>
      </c>
      <c r="AG16" s="44">
        <v>2970.3</v>
      </c>
      <c r="AH16" s="44">
        <f>70</f>
        <v>70</v>
      </c>
      <c r="AJ16" s="194">
        <f>90+50</f>
        <v>140</v>
      </c>
      <c r="AL16" s="44">
        <v>150</v>
      </c>
      <c r="AM16" s="44">
        <f>78</f>
        <v>78</v>
      </c>
      <c r="AN16" s="44">
        <f>1170+70+16+257.33</f>
        <v>1513.33</v>
      </c>
      <c r="AO16" s="259">
        <f>150+120+20+216</f>
        <v>506</v>
      </c>
    </row>
    <row r="17" spans="1:41" s="44" customFormat="1" ht="15" customHeight="1" thickBot="1">
      <c r="A17" s="71">
        <v>14</v>
      </c>
      <c r="B17" s="97">
        <v>10</v>
      </c>
      <c r="C17" s="128" t="s">
        <v>49</v>
      </c>
      <c r="E17" s="42">
        <v>14</v>
      </c>
      <c r="F17" s="43">
        <v>-225</v>
      </c>
      <c r="G17" s="44">
        <v>100</v>
      </c>
      <c r="I17" s="45"/>
      <c r="J17" s="45">
        <f t="shared" si="2"/>
        <v>0</v>
      </c>
      <c r="K17" s="45"/>
      <c r="L17" s="99">
        <v>45</v>
      </c>
      <c r="M17" s="99"/>
      <c r="N17" s="99"/>
      <c r="O17" s="99"/>
      <c r="P17" s="100">
        <f>90+370</f>
        <v>460</v>
      </c>
      <c r="Q17" s="101">
        <v>35</v>
      </c>
      <c r="R17" s="326" t="s">
        <v>49</v>
      </c>
      <c r="S17" s="326"/>
      <c r="T17" s="326"/>
      <c r="U17" s="101" t="s">
        <v>83</v>
      </c>
      <c r="V17" s="76"/>
      <c r="AD17" s="44">
        <f>110</f>
        <v>110</v>
      </c>
      <c r="AE17" s="44">
        <f>30+60</f>
        <v>90</v>
      </c>
      <c r="AF17" s="44">
        <v>30</v>
      </c>
      <c r="AG17" s="44">
        <v>541.25</v>
      </c>
      <c r="AH17" s="44">
        <f>145</f>
        <v>145</v>
      </c>
      <c r="AI17" s="44">
        <v>29</v>
      </c>
      <c r="AJ17" s="194"/>
      <c r="AK17" s="44">
        <v>0</v>
      </c>
      <c r="AL17" s="44">
        <v>250.5</v>
      </c>
      <c r="AO17" s="259"/>
    </row>
    <row r="18" spans="1:41" s="44" customFormat="1" ht="15" customHeight="1" thickBot="1">
      <c r="A18" s="71">
        <v>15</v>
      </c>
      <c r="B18" s="97">
        <v>6</v>
      </c>
      <c r="C18" s="128" t="s">
        <v>49</v>
      </c>
      <c r="E18" s="42">
        <v>15</v>
      </c>
      <c r="F18" s="43">
        <v>-260</v>
      </c>
      <c r="G18" s="44">
        <v>86</v>
      </c>
      <c r="I18" s="45"/>
      <c r="J18" s="45">
        <f t="shared" si="2"/>
        <v>0</v>
      </c>
      <c r="K18" s="45"/>
      <c r="L18" s="99">
        <v>100</v>
      </c>
      <c r="M18" s="99">
        <f>84+214</f>
        <v>298</v>
      </c>
      <c r="N18" s="99">
        <v>21.8</v>
      </c>
      <c r="O18" s="99"/>
      <c r="P18" s="100"/>
      <c r="Q18" s="101">
        <v>37</v>
      </c>
      <c r="R18" s="326" t="s">
        <v>49</v>
      </c>
      <c r="S18" s="326"/>
      <c r="T18" s="326"/>
      <c r="U18" s="101">
        <v>90</v>
      </c>
      <c r="V18" s="76" t="s">
        <v>91</v>
      </c>
      <c r="AD18" s="44">
        <f>60</f>
        <v>60</v>
      </c>
      <c r="AE18" s="44">
        <v>783.7</v>
      </c>
      <c r="AF18" s="44">
        <v>337</v>
      </c>
      <c r="AG18" s="44">
        <f>50+100+60+200+88.5*2</f>
        <v>587</v>
      </c>
      <c r="AH18" s="44">
        <f>20</f>
        <v>20</v>
      </c>
      <c r="AI18" s="44">
        <v>145</v>
      </c>
      <c r="AJ18" s="194">
        <f>21</f>
        <v>21</v>
      </c>
      <c r="AM18" s="44">
        <f>150+65.9</f>
        <v>215.9</v>
      </c>
      <c r="AN18" s="44">
        <v>150</v>
      </c>
      <c r="AO18" s="259"/>
    </row>
    <row r="19" spans="1:41" s="44" customFormat="1" ht="15" customHeight="1" thickBot="1">
      <c r="A19" s="71">
        <v>16</v>
      </c>
      <c r="B19" s="97">
        <v>6</v>
      </c>
      <c r="C19" s="128" t="s">
        <v>49</v>
      </c>
      <c r="E19" s="42">
        <v>16</v>
      </c>
      <c r="F19" s="43">
        <v>-140</v>
      </c>
      <c r="G19" s="44">
        <v>1050</v>
      </c>
      <c r="I19" s="45"/>
      <c r="J19" s="45">
        <f t="shared" si="2"/>
        <v>0</v>
      </c>
      <c r="K19" s="45"/>
      <c r="L19" s="99">
        <v>60</v>
      </c>
      <c r="M19" s="99">
        <f>18+64.6</f>
        <v>82.6</v>
      </c>
      <c r="N19" s="99"/>
      <c r="O19" s="99">
        <f>45+50</f>
        <v>95</v>
      </c>
      <c r="P19" s="100"/>
      <c r="Q19" s="101">
        <v>38</v>
      </c>
      <c r="R19" s="326" t="s">
        <v>49</v>
      </c>
      <c r="S19" s="326"/>
      <c r="T19" s="326"/>
      <c r="U19" s="101">
        <v>426</v>
      </c>
      <c r="V19" s="76" t="s">
        <v>91</v>
      </c>
      <c r="AD19" s="44">
        <f>165.06+250</f>
        <v>415.06</v>
      </c>
      <c r="AI19" s="44">
        <v>150</v>
      </c>
      <c r="AJ19" s="194"/>
      <c r="AN19" s="44">
        <f>184</f>
        <v>184</v>
      </c>
      <c r="AO19" s="259">
        <f>17</f>
        <v>17</v>
      </c>
    </row>
    <row r="20" spans="1:41" s="44" customFormat="1" ht="15.75" customHeight="1" thickBot="1">
      <c r="A20" s="71">
        <v>17</v>
      </c>
      <c r="B20" s="97">
        <v>10</v>
      </c>
      <c r="C20" s="128" t="s">
        <v>49</v>
      </c>
      <c r="D20" s="44">
        <v>715</v>
      </c>
      <c r="E20" s="42">
        <v>17</v>
      </c>
      <c r="F20" s="43">
        <v>-185</v>
      </c>
      <c r="G20" s="44">
        <v>30</v>
      </c>
      <c r="I20" s="65">
        <v>131.37</v>
      </c>
      <c r="J20" s="66">
        <f t="shared" si="2"/>
        <v>583.63</v>
      </c>
      <c r="K20" s="45"/>
      <c r="L20" s="99"/>
      <c r="M20" s="99">
        <v>35</v>
      </c>
      <c r="N20" s="99">
        <f>75+70</f>
        <v>145</v>
      </c>
      <c r="O20" s="99">
        <v>400</v>
      </c>
      <c r="P20" s="100"/>
      <c r="Q20" s="101">
        <v>39</v>
      </c>
      <c r="R20" s="326" t="s">
        <v>49</v>
      </c>
      <c r="S20" s="326"/>
      <c r="T20" s="326"/>
      <c r="U20" s="101">
        <v>0</v>
      </c>
      <c r="V20" s="76"/>
      <c r="AE20" s="44">
        <v>30</v>
      </c>
      <c r="AF20" s="44">
        <v>145</v>
      </c>
      <c r="AI20" s="44">
        <v>180</v>
      </c>
      <c r="AJ20" s="194"/>
      <c r="AL20" s="44">
        <v>40</v>
      </c>
      <c r="AO20" s="259"/>
    </row>
    <row r="21" spans="1:41" s="44" customFormat="1" ht="15" customHeight="1" thickBot="1">
      <c r="A21" s="71">
        <v>18</v>
      </c>
      <c r="B21" s="97">
        <v>10</v>
      </c>
      <c r="C21" s="128" t="s">
        <v>49</v>
      </c>
      <c r="E21" s="42">
        <v>18</v>
      </c>
      <c r="F21" s="43">
        <v>-225</v>
      </c>
      <c r="G21" s="44">
        <v>140</v>
      </c>
      <c r="I21" s="45"/>
      <c r="J21" s="45"/>
      <c r="K21" s="45"/>
      <c r="L21" s="99"/>
      <c r="M21" s="99">
        <v>70</v>
      </c>
      <c r="N21" s="99"/>
      <c r="O21" s="102">
        <f>49.72+17</f>
        <v>66.72</v>
      </c>
      <c r="P21" s="100"/>
      <c r="Q21" s="101">
        <v>40</v>
      </c>
      <c r="R21" s="326" t="s">
        <v>49</v>
      </c>
      <c r="S21" s="326"/>
      <c r="T21" s="326"/>
      <c r="U21" s="101">
        <v>586</v>
      </c>
      <c r="V21" s="76"/>
      <c r="AD21" s="44">
        <f>683.7+60+47+410+100</f>
        <v>1300.7</v>
      </c>
      <c r="AF21" s="44">
        <v>116</v>
      </c>
      <c r="AH21" s="44">
        <f>40</f>
        <v>40</v>
      </c>
      <c r="AI21" s="44">
        <f>21+80</f>
        <v>101</v>
      </c>
      <c r="AJ21" s="194">
        <f>300+17</f>
        <v>317</v>
      </c>
      <c r="AK21" s="44">
        <v>50</v>
      </c>
      <c r="AL21" s="44">
        <f>50+120</f>
        <v>170</v>
      </c>
      <c r="AM21" s="44">
        <f>45+25+40</f>
        <v>110</v>
      </c>
      <c r="AN21" s="44">
        <f>40</f>
        <v>40</v>
      </c>
      <c r="AO21" s="259">
        <f>26</f>
        <v>26</v>
      </c>
    </row>
    <row r="22" spans="1:41" s="44" customFormat="1" ht="19.5" thickBot="1">
      <c r="A22" s="71">
        <v>19</v>
      </c>
      <c r="B22" s="97">
        <v>6</v>
      </c>
      <c r="C22" s="128">
        <f>10342-150-500-150-320-AF22-AH22-40-50-AJ22-AM22-AO22</f>
        <v>8273</v>
      </c>
      <c r="E22" s="42">
        <v>19</v>
      </c>
      <c r="F22" s="43">
        <v>-200</v>
      </c>
      <c r="G22" s="44">
        <v>360</v>
      </c>
      <c r="I22" s="45"/>
      <c r="J22" s="45"/>
      <c r="K22" s="45"/>
      <c r="L22" s="99"/>
      <c r="M22" s="99"/>
      <c r="N22" s="99"/>
      <c r="O22" s="99"/>
      <c r="P22" s="100"/>
      <c r="Q22" s="101">
        <v>41</v>
      </c>
      <c r="R22" s="326">
        <v>10342</v>
      </c>
      <c r="S22" s="326"/>
      <c r="T22" s="326"/>
      <c r="U22" s="101">
        <v>1381</v>
      </c>
      <c r="V22" s="76"/>
      <c r="AF22" s="44">
        <v>335</v>
      </c>
      <c r="AJ22" s="194">
        <f>50+250</f>
        <v>300</v>
      </c>
      <c r="AM22" s="44">
        <f>129+50</f>
        <v>179</v>
      </c>
      <c r="AO22" s="259">
        <v>45</v>
      </c>
    </row>
    <row r="23" spans="1:41" s="44" customFormat="1" ht="15.75" customHeight="1" thickBot="1">
      <c r="A23" s="71">
        <v>20</v>
      </c>
      <c r="B23" s="97">
        <v>10</v>
      </c>
      <c r="C23" s="128" t="s">
        <v>49</v>
      </c>
      <c r="E23" s="42">
        <v>20</v>
      </c>
      <c r="F23" s="43">
        <v>0</v>
      </c>
      <c r="G23" s="44">
        <v>0</v>
      </c>
      <c r="I23" s="45"/>
      <c r="J23" s="45"/>
      <c r="K23" s="45"/>
      <c r="L23" s="99">
        <f>80+188.5+74.1-36.72</f>
        <v>305.88</v>
      </c>
      <c r="M23" s="99">
        <f>149+93.75+45+120+34</f>
        <v>441.75</v>
      </c>
      <c r="N23" s="99">
        <f>100+2700+268.6+64</f>
        <v>3132.6</v>
      </c>
      <c r="O23" s="99">
        <v>35</v>
      </c>
      <c r="P23" s="99"/>
      <c r="Q23" s="112" t="s">
        <v>101</v>
      </c>
      <c r="R23" s="327">
        <f>2030-22-389.35-80-188.5-74.1+36.72-441.75-100-2700-268.6-64</f>
        <v>-2261.58</v>
      </c>
      <c r="S23" s="328"/>
      <c r="T23" s="329"/>
      <c r="U23" s="113">
        <f>400*6*1.73</f>
        <v>4152</v>
      </c>
      <c r="AD23" s="44">
        <f>50</f>
        <v>50</v>
      </c>
      <c r="AE23" s="44">
        <v>125</v>
      </c>
      <c r="AG23" s="44">
        <v>100</v>
      </c>
      <c r="AH23" s="44">
        <f>540+60+350+100+547.42</f>
        <v>1597.42</v>
      </c>
      <c r="AI23" s="44">
        <f>104+32</f>
        <v>136</v>
      </c>
      <c r="AJ23" s="194">
        <f>486.04</f>
        <v>486.04</v>
      </c>
      <c r="AK23" s="44">
        <v>450</v>
      </c>
      <c r="AM23" s="44">
        <f>160</f>
        <v>160</v>
      </c>
      <c r="AN23" s="44">
        <f>150+668+190</f>
        <v>1008</v>
      </c>
      <c r="AO23" s="259">
        <f>150+50</f>
        <v>200</v>
      </c>
    </row>
    <row r="24" spans="1:41" s="44" customFormat="1" ht="15.75" thickBot="1">
      <c r="A24" s="71">
        <v>21</v>
      </c>
      <c r="B24" s="97">
        <v>10</v>
      </c>
      <c r="C24" s="128">
        <f>1834-25-143.6-25-143.6-25-150-300-150-95-60-150-150-30-150-AE24-AF24-AH24-AI24-AJ24-AL24-AM24</f>
        <v>-821.19999999999982</v>
      </c>
      <c r="E24" s="42">
        <v>21</v>
      </c>
      <c r="F24" s="43">
        <v>-1694</v>
      </c>
      <c r="G24" s="44">
        <v>17</v>
      </c>
      <c r="I24" s="45"/>
      <c r="J24" s="45"/>
      <c r="K24" s="45"/>
      <c r="L24" s="99">
        <f>143.6+25</f>
        <v>168.6</v>
      </c>
      <c r="M24" s="99"/>
      <c r="N24" s="99"/>
      <c r="O24" s="99">
        <f>200+170</f>
        <v>370</v>
      </c>
      <c r="P24" s="99"/>
      <c r="Q24" s="114" t="s">
        <v>102</v>
      </c>
      <c r="R24" s="320">
        <f>1834-25-143.6-25-143.6-25</f>
        <v>1471.8000000000002</v>
      </c>
      <c r="S24" s="321"/>
      <c r="T24" s="322"/>
      <c r="U24" s="113">
        <f>400*10*1.73</f>
        <v>6920</v>
      </c>
      <c r="AE24" s="44">
        <v>140</v>
      </c>
      <c r="AF24" s="44">
        <v>128</v>
      </c>
      <c r="AH24" s="44">
        <f>30</f>
        <v>30</v>
      </c>
      <c r="AI24" s="44">
        <v>20</v>
      </c>
      <c r="AJ24" s="194">
        <f>45</f>
        <v>45</v>
      </c>
      <c r="AL24" s="44">
        <v>145</v>
      </c>
      <c r="AM24" s="44">
        <f>550</f>
        <v>550</v>
      </c>
      <c r="AO24" s="259"/>
    </row>
    <row r="25" spans="1:41" s="44" customFormat="1" ht="15.75" customHeight="1" thickBot="1">
      <c r="A25" s="71">
        <v>22</v>
      </c>
      <c r="B25" s="97">
        <v>10</v>
      </c>
      <c r="C25" s="128" t="s">
        <v>49</v>
      </c>
      <c r="E25" s="42"/>
      <c r="F25" s="43"/>
      <c r="I25" s="45"/>
      <c r="J25" s="45"/>
      <c r="K25" s="45"/>
      <c r="L25" s="99"/>
      <c r="M25" s="99"/>
      <c r="N25" s="99"/>
      <c r="O25" s="99"/>
      <c r="P25" s="99"/>
      <c r="Q25" s="114" t="s">
        <v>108</v>
      </c>
      <c r="R25" s="91"/>
      <c r="S25" s="92"/>
      <c r="T25" s="93"/>
      <c r="U25" s="125">
        <f>6*1.73*600</f>
        <v>6227.9999999999991</v>
      </c>
      <c r="AE25" s="44">
        <v>85</v>
      </c>
      <c r="AG25" s="44">
        <v>45</v>
      </c>
      <c r="AI25" s="44">
        <v>21</v>
      </c>
      <c r="AJ25" s="194"/>
      <c r="AL25" s="44">
        <f>20+533.7</f>
        <v>553.70000000000005</v>
      </c>
      <c r="AN25" s="44">
        <f>175+351.43</f>
        <v>526.43000000000006</v>
      </c>
      <c r="AO25" s="259">
        <f>190.82</f>
        <v>190.82</v>
      </c>
    </row>
    <row r="26" spans="1:41" s="44" customFormat="1" ht="15.75" customHeight="1" thickBot="1">
      <c r="A26" s="71">
        <v>23</v>
      </c>
      <c r="B26" s="97">
        <v>10</v>
      </c>
      <c r="C26" s="128" t="s">
        <v>49</v>
      </c>
      <c r="E26" s="42">
        <v>23</v>
      </c>
      <c r="F26" s="43">
        <v>-185</v>
      </c>
      <c r="G26" s="44">
        <v>0</v>
      </c>
      <c r="I26" s="45"/>
      <c r="J26" s="45"/>
      <c r="K26" s="45"/>
      <c r="L26" s="99"/>
      <c r="M26" s="99"/>
      <c r="N26" s="99"/>
      <c r="O26" s="99">
        <v>50</v>
      </c>
      <c r="P26" s="99">
        <v>250</v>
      </c>
      <c r="Q26" s="114" t="s">
        <v>109</v>
      </c>
      <c r="R26" s="320">
        <f>500-185-7</f>
        <v>308</v>
      </c>
      <c r="S26" s="321"/>
      <c r="T26" s="322"/>
      <c r="U26" s="125">
        <f>6*1.73*600</f>
        <v>6227.9999999999991</v>
      </c>
      <c r="AE26" s="44">
        <f>150</f>
        <v>150</v>
      </c>
      <c r="AJ26" s="194"/>
      <c r="AM26" s="44">
        <f>70</f>
        <v>70</v>
      </c>
      <c r="AO26" s="259"/>
    </row>
    <row r="27" spans="1:41" s="44" customFormat="1" ht="15.75" thickBot="1">
      <c r="A27" s="71">
        <v>24</v>
      </c>
      <c r="B27" s="97">
        <v>10</v>
      </c>
      <c r="C27" s="128">
        <f>1668-185-400-30-220-499.4-25-232.2-AI27-AL27</f>
        <v>-23.599999999999966</v>
      </c>
      <c r="E27" s="42">
        <v>24</v>
      </c>
      <c r="F27" s="43">
        <v>-185</v>
      </c>
      <c r="G27" s="44">
        <v>400</v>
      </c>
      <c r="I27" s="45"/>
      <c r="J27" s="45"/>
      <c r="K27" s="45"/>
      <c r="L27" s="99"/>
      <c r="M27" s="99"/>
      <c r="N27" s="99">
        <v>30</v>
      </c>
      <c r="O27" s="99"/>
      <c r="P27" s="99"/>
      <c r="Q27" s="114" t="s">
        <v>112</v>
      </c>
      <c r="R27" s="121">
        <f>2470-55-1198-460-230-100</f>
        <v>427</v>
      </c>
      <c r="S27" s="122"/>
      <c r="T27" s="123"/>
      <c r="U27" s="44">
        <f>243*6*1.73*0.9</f>
        <v>2270.1060000000002</v>
      </c>
      <c r="V27" s="44" t="s">
        <v>116</v>
      </c>
      <c r="AI27" s="44">
        <f>50+50</f>
        <v>100</v>
      </c>
      <c r="AJ27" s="194"/>
      <c r="AO27" s="259"/>
    </row>
    <row r="28" spans="1:41" s="44" customFormat="1" ht="15" customHeight="1" thickBot="1">
      <c r="A28" s="71">
        <v>25</v>
      </c>
      <c r="B28" s="97">
        <v>10</v>
      </c>
      <c r="C28" s="128" t="s">
        <v>49</v>
      </c>
      <c r="E28" s="42">
        <v>25</v>
      </c>
      <c r="F28" s="43">
        <v>-1694</v>
      </c>
      <c r="G28" s="44">
        <v>549.04</v>
      </c>
      <c r="I28" s="45"/>
      <c r="J28" s="45"/>
      <c r="K28" s="45"/>
      <c r="L28" s="99"/>
      <c r="M28" s="99"/>
      <c r="N28" s="99">
        <v>265</v>
      </c>
      <c r="O28" s="99"/>
      <c r="P28" s="99"/>
      <c r="Q28" s="44" t="s">
        <v>115</v>
      </c>
      <c r="R28" s="121">
        <v>1600</v>
      </c>
      <c r="S28" s="122"/>
      <c r="T28" s="123"/>
      <c r="U28" s="44">
        <v>8000</v>
      </c>
      <c r="V28" s="44" t="s">
        <v>117</v>
      </c>
      <c r="AH28" s="44">
        <f>30</f>
        <v>30</v>
      </c>
      <c r="AJ28" s="194">
        <f>300.7</f>
        <v>300.7</v>
      </c>
      <c r="AN28" s="44">
        <v>21</v>
      </c>
      <c r="AO28" s="259"/>
    </row>
    <row r="29" spans="1:41" s="44" customFormat="1" ht="15.75" customHeight="1" thickBot="1">
      <c r="A29" s="71">
        <v>26</v>
      </c>
      <c r="B29" s="97">
        <v>6</v>
      </c>
      <c r="C29" s="128" t="s">
        <v>49</v>
      </c>
      <c r="E29" s="42">
        <v>26</v>
      </c>
      <c r="F29" s="43">
        <v>-70</v>
      </c>
      <c r="G29" s="44">
        <v>0</v>
      </c>
      <c r="I29" s="45"/>
      <c r="J29" s="45"/>
      <c r="K29" s="45"/>
      <c r="L29" s="99"/>
      <c r="M29" s="99"/>
      <c r="N29" s="99"/>
      <c r="O29" s="99"/>
      <c r="P29" s="99"/>
      <c r="Q29" s="126" t="s">
        <v>110</v>
      </c>
      <c r="R29" s="121" t="s">
        <v>49</v>
      </c>
      <c r="S29" s="122"/>
      <c r="T29" s="123"/>
      <c r="U29" s="44" t="s">
        <v>114</v>
      </c>
      <c r="AD29" s="44">
        <f>260</f>
        <v>260</v>
      </c>
      <c r="AE29" s="44">
        <f>120+608.4+120+70</f>
        <v>918.4</v>
      </c>
      <c r="AF29" s="44">
        <v>280</v>
      </c>
      <c r="AG29" s="44">
        <v>617.79999999999995</v>
      </c>
      <c r="AI29" s="44">
        <v>30</v>
      </c>
      <c r="AJ29" s="194">
        <f>261.2</f>
        <v>261.2</v>
      </c>
      <c r="AK29" s="44">
        <f>983.3+20</f>
        <v>1003.3</v>
      </c>
      <c r="AM29" s="44">
        <f>1190</f>
        <v>1190</v>
      </c>
      <c r="AN29" s="44">
        <v>3125.64</v>
      </c>
      <c r="AO29" s="259"/>
    </row>
    <row r="30" spans="1:41" s="44" customFormat="1" ht="15.75" customHeight="1" thickBot="1">
      <c r="A30" s="71">
        <v>28</v>
      </c>
      <c r="B30" s="97">
        <v>6</v>
      </c>
      <c r="C30" s="128">
        <f>2470-55-1198-460-230-100-40-30-AE3-AH303-AH30-AI30-AM30</f>
        <v>247.5</v>
      </c>
      <c r="E30" s="42">
        <v>28</v>
      </c>
      <c r="F30" s="43">
        <v>0</v>
      </c>
      <c r="G30" s="44">
        <v>0</v>
      </c>
      <c r="I30" s="45"/>
      <c r="J30" s="45"/>
      <c r="K30" s="45"/>
      <c r="L30" s="99"/>
      <c r="M30" s="99"/>
      <c r="N30" s="99"/>
      <c r="O30" s="99"/>
      <c r="P30" s="99"/>
      <c r="Q30" s="126" t="s">
        <v>111</v>
      </c>
      <c r="R30" s="320" t="s">
        <v>49</v>
      </c>
      <c r="S30" s="321"/>
      <c r="T30" s="322"/>
      <c r="U30" s="44" t="s">
        <v>114</v>
      </c>
      <c r="AE30" s="44">
        <f>30</f>
        <v>30</v>
      </c>
      <c r="AH30" s="44">
        <f>60</f>
        <v>60</v>
      </c>
      <c r="AI30" s="44">
        <v>19.5</v>
      </c>
      <c r="AJ30" s="194"/>
      <c r="AM30" s="44">
        <f>30</f>
        <v>30</v>
      </c>
      <c r="AO30" s="259"/>
    </row>
    <row r="31" spans="1:41" s="44" customFormat="1" ht="15.75" customHeight="1" thickBot="1">
      <c r="A31" s="71">
        <v>31</v>
      </c>
      <c r="B31" s="97">
        <v>10</v>
      </c>
      <c r="C31" s="128" t="s">
        <v>49</v>
      </c>
      <c r="E31" s="42"/>
      <c r="F31" s="43"/>
      <c r="I31" s="45"/>
      <c r="J31" s="45"/>
      <c r="K31" s="45"/>
      <c r="L31" s="99"/>
      <c r="M31" s="99"/>
      <c r="N31" s="99"/>
      <c r="O31" s="99"/>
      <c r="P31" s="99"/>
      <c r="Q31" s="44" t="s">
        <v>119</v>
      </c>
      <c r="U31" s="44">
        <f>351*6*1.73</f>
        <v>3643.38</v>
      </c>
      <c r="V31" s="44" t="s">
        <v>120</v>
      </c>
      <c r="AJ31" s="194">
        <f>260+120</f>
        <v>380</v>
      </c>
      <c r="AK31" s="44">
        <v>100</v>
      </c>
      <c r="AN31" s="44">
        <v>50</v>
      </c>
      <c r="AO31" s="259"/>
    </row>
    <row r="32" spans="1:41" s="44" customFormat="1" ht="15.75" thickBot="1">
      <c r="A32" s="71">
        <v>32</v>
      </c>
      <c r="B32" s="97">
        <v>10</v>
      </c>
      <c r="C32" s="128">
        <f>V4-1000-4470.8-120-AE32-AH32-AI32-200-AK32-AL32-AO32</f>
        <v>-5750.4</v>
      </c>
      <c r="E32" s="42"/>
      <c r="F32" s="43"/>
      <c r="I32" s="45"/>
      <c r="J32" s="45"/>
      <c r="K32" s="45"/>
      <c r="L32" s="99"/>
      <c r="M32" s="99"/>
      <c r="N32" s="99"/>
      <c r="O32" s="99"/>
      <c r="P32" s="99"/>
      <c r="Q32" s="44" t="s">
        <v>129</v>
      </c>
      <c r="U32" s="44">
        <f>351*6*1.73</f>
        <v>3643.38</v>
      </c>
      <c r="V32" s="44" t="s">
        <v>120</v>
      </c>
      <c r="AE32" s="44">
        <v>633.6</v>
      </c>
      <c r="AH32" s="44">
        <f>300</f>
        <v>300</v>
      </c>
      <c r="AI32" s="44">
        <f>630+670</f>
        <v>1300</v>
      </c>
      <c r="AJ32" s="194"/>
      <c r="AK32" s="44">
        <f>420</f>
        <v>420</v>
      </c>
      <c r="AL32" s="44">
        <v>30</v>
      </c>
      <c r="AO32" s="259">
        <v>630</v>
      </c>
    </row>
    <row r="33" spans="1:41" s="44" customFormat="1" ht="15.75" customHeight="1" thickBot="1">
      <c r="A33" s="71">
        <v>33</v>
      </c>
      <c r="B33" s="97">
        <v>6</v>
      </c>
      <c r="C33" s="128" t="str">
        <f>C31</f>
        <v>источник закрыт</v>
      </c>
      <c r="E33" s="42"/>
      <c r="F33" s="43"/>
      <c r="I33" s="45"/>
      <c r="J33" s="45"/>
      <c r="K33" s="45"/>
      <c r="L33" s="99"/>
      <c r="M33" s="99"/>
      <c r="N33" s="99"/>
      <c r="O33" s="99"/>
      <c r="P33" s="99"/>
      <c r="R33" s="91"/>
      <c r="S33" s="92"/>
      <c r="T33" s="93"/>
      <c r="AD33" s="44">
        <f>150</f>
        <v>150</v>
      </c>
      <c r="AJ33" s="194"/>
      <c r="AK33" s="44">
        <f>370+150</f>
        <v>520</v>
      </c>
      <c r="AL33" s="44">
        <v>50</v>
      </c>
      <c r="AO33" s="259"/>
    </row>
    <row r="34" spans="1:41" s="44" customFormat="1" ht="15.75" thickBot="1">
      <c r="A34" s="71">
        <v>34</v>
      </c>
      <c r="B34" s="97">
        <v>10</v>
      </c>
      <c r="C34" s="128">
        <f>7836-70-210-292.3-240.8-400-160-400-180+160-604.32-150-170.37-234.5-50-263-671.16-731.16-120-100-AE34-AI34-70.32-AK34-AL34-AO34</f>
        <v>2442.27</v>
      </c>
      <c r="E34" s="42"/>
      <c r="F34" s="43"/>
      <c r="I34" s="45"/>
      <c r="J34" s="45"/>
      <c r="K34" s="45"/>
      <c r="L34" s="99"/>
      <c r="M34" s="99"/>
      <c r="N34" s="99"/>
      <c r="O34" s="99"/>
      <c r="P34" s="99"/>
      <c r="R34" s="91"/>
      <c r="S34" s="92"/>
      <c r="T34" s="93"/>
      <c r="AE34" s="44">
        <v>40</v>
      </c>
      <c r="AI34" s="44">
        <v>35</v>
      </c>
      <c r="AJ34" s="194"/>
      <c r="AK34" s="44">
        <v>50</v>
      </c>
      <c r="AL34" s="44">
        <v>240.8</v>
      </c>
      <c r="AO34" s="259">
        <f>70</f>
        <v>70</v>
      </c>
    </row>
    <row r="35" spans="1:41" s="44" customFormat="1" ht="15" customHeight="1" thickBot="1">
      <c r="A35" s="68">
        <v>35</v>
      </c>
      <c r="B35" s="68">
        <v>10</v>
      </c>
      <c r="C35" s="128">
        <f>V5-20-422.7-560.9-536.4-80-AH35-170-150-AJ35-AK35-AL35-AN35</f>
        <v>-1502</v>
      </c>
      <c r="E35" s="42">
        <v>31</v>
      </c>
      <c r="F35" s="43">
        <v>-40</v>
      </c>
      <c r="G35" s="44">
        <v>0</v>
      </c>
      <c r="I35" s="45"/>
      <c r="J35" s="45"/>
      <c r="K35" s="45"/>
      <c r="L35" s="99">
        <v>150</v>
      </c>
      <c r="M35" s="99"/>
      <c r="N35" s="99"/>
      <c r="O35" s="99"/>
      <c r="P35" s="99"/>
      <c r="R35" s="320" t="s">
        <v>49</v>
      </c>
      <c r="S35" s="321"/>
      <c r="T35" s="322"/>
      <c r="AH35" s="44">
        <f>30</f>
        <v>30</v>
      </c>
      <c r="AJ35" s="194">
        <f>100</f>
        <v>100</v>
      </c>
      <c r="AK35" s="44">
        <f>45+630</f>
        <v>675</v>
      </c>
      <c r="AL35" s="44">
        <v>316</v>
      </c>
      <c r="AN35" s="44">
        <v>315</v>
      </c>
      <c r="AO35" s="259"/>
    </row>
    <row r="36" spans="1:41" s="44" customFormat="1" ht="15" customHeight="1" thickBot="1">
      <c r="A36" s="71">
        <v>36</v>
      </c>
      <c r="B36" s="97">
        <v>10</v>
      </c>
      <c r="C36" s="128" t="s">
        <v>49</v>
      </c>
      <c r="E36" s="42"/>
      <c r="F36" s="43"/>
      <c r="I36" s="45"/>
      <c r="J36" s="45"/>
      <c r="K36" s="45"/>
      <c r="L36" s="99"/>
      <c r="M36" s="99"/>
      <c r="N36" s="99"/>
      <c r="O36" s="99"/>
      <c r="P36" s="99"/>
      <c r="R36" s="94"/>
      <c r="S36" s="95"/>
      <c r="T36" s="96"/>
      <c r="AD36" s="44">
        <f>150+386.1+298</f>
        <v>834.1</v>
      </c>
      <c r="AH36" s="44">
        <f>150</f>
        <v>150</v>
      </c>
      <c r="AJ36" s="194">
        <f>150</f>
        <v>150</v>
      </c>
      <c r="AO36" s="259"/>
    </row>
    <row r="37" spans="1:41" s="44" customFormat="1" ht="15" customHeight="1" thickBot="1">
      <c r="A37" s="71">
        <v>37</v>
      </c>
      <c r="B37" s="97">
        <v>6</v>
      </c>
      <c r="C37" s="128">
        <f>V9-120-AE37</f>
        <v>2154</v>
      </c>
      <c r="E37" s="42"/>
      <c r="F37" s="43"/>
      <c r="I37" s="45"/>
      <c r="J37" s="45"/>
      <c r="K37" s="45"/>
      <c r="L37" s="99"/>
      <c r="M37" s="99"/>
      <c r="N37" s="99"/>
      <c r="O37" s="99"/>
      <c r="P37" s="99"/>
      <c r="R37" s="94"/>
      <c r="S37" s="95"/>
      <c r="T37" s="96"/>
      <c r="AE37" s="44">
        <v>750</v>
      </c>
      <c r="AJ37" s="194"/>
      <c r="AO37" s="259"/>
    </row>
    <row r="38" spans="1:41" s="44" customFormat="1" ht="15" customHeight="1" thickBot="1">
      <c r="A38" s="71">
        <v>38</v>
      </c>
      <c r="B38" s="97">
        <v>6</v>
      </c>
      <c r="C38" s="128">
        <f>V8-50-80-1000-55-547-147-35-100-100-100-AE38-AH38-AI38-AJ38-AK38-AM38-AN38-AO38</f>
        <v>-2546</v>
      </c>
      <c r="E38" s="42"/>
      <c r="F38" s="43"/>
      <c r="I38" s="45"/>
      <c r="J38" s="45"/>
      <c r="K38" s="45"/>
      <c r="L38" s="99"/>
      <c r="M38" s="99"/>
      <c r="N38" s="99"/>
      <c r="O38" s="99"/>
      <c r="P38" s="99"/>
      <c r="R38" s="94"/>
      <c r="S38" s="95"/>
      <c r="T38" s="96"/>
      <c r="AE38" s="44">
        <v>60</v>
      </c>
      <c r="AF38" s="44">
        <v>150</v>
      </c>
      <c r="AH38" s="44">
        <f>630+500</f>
        <v>1130</v>
      </c>
      <c r="AI38" s="44">
        <f>50+60</f>
        <v>110</v>
      </c>
      <c r="AJ38" s="194">
        <f>30</f>
        <v>30</v>
      </c>
      <c r="AK38" s="44">
        <v>250</v>
      </c>
      <c r="AM38" s="44">
        <v>400</v>
      </c>
      <c r="AN38" s="44">
        <f>40+150</f>
        <v>190</v>
      </c>
      <c r="AO38" s="259">
        <f>850</f>
        <v>850</v>
      </c>
    </row>
    <row r="39" spans="1:41" s="44" customFormat="1" ht="15" customHeight="1" thickBot="1">
      <c r="A39" s="71">
        <v>39</v>
      </c>
      <c r="B39" s="97">
        <v>10</v>
      </c>
      <c r="C39" s="128">
        <f>V6-350-140.4-2297.8-75-300-144-144-495.3-1042.39-237-20-AE39-AG39-AH39-AI39-371.2-888.9-2206.8-AJ39-AK39-AL39-AN39-AO39</f>
        <v>-13177.390000000001</v>
      </c>
      <c r="E39" s="42"/>
      <c r="F39" s="43"/>
      <c r="I39" s="45"/>
      <c r="J39" s="45"/>
      <c r="K39" s="45"/>
      <c r="L39" s="99"/>
      <c r="M39" s="99"/>
      <c r="N39" s="99"/>
      <c r="O39" s="99"/>
      <c r="P39" s="99"/>
      <c r="R39" s="94"/>
      <c r="S39" s="95"/>
      <c r="T39" s="96"/>
      <c r="AE39" s="44">
        <f>130+350+237</f>
        <v>717</v>
      </c>
      <c r="AF39" s="44">
        <v>95</v>
      </c>
      <c r="AG39" s="44">
        <v>2113.3000000000002</v>
      </c>
      <c r="AH39" s="44">
        <f>240+149.9+380</f>
        <v>769.9</v>
      </c>
      <c r="AI39" s="44">
        <v>350</v>
      </c>
      <c r="AJ39" s="194">
        <f>35+131.9</f>
        <v>166.9</v>
      </c>
      <c r="AK39" s="44">
        <f>40+149+1522.5</f>
        <v>1711.5</v>
      </c>
      <c r="AL39" s="44">
        <v>140</v>
      </c>
      <c r="AN39" s="44">
        <v>25</v>
      </c>
      <c r="AO39" s="259">
        <f>237+200</f>
        <v>437</v>
      </c>
    </row>
    <row r="40" spans="1:41" s="243" customFormat="1" ht="15" customHeight="1" thickBot="1">
      <c r="A40" s="240">
        <v>40</v>
      </c>
      <c r="B40" s="241">
        <v>10</v>
      </c>
      <c r="C40" s="242">
        <f>V7-AG40-AH40-AI40-AM40-5000</f>
        <v>-570.69999999999982</v>
      </c>
      <c r="E40" s="244"/>
      <c r="F40" s="245"/>
      <c r="I40" s="206"/>
      <c r="J40" s="206"/>
      <c r="K40" s="206"/>
      <c r="L40" s="246"/>
      <c r="M40" s="246"/>
      <c r="N40" s="246"/>
      <c r="O40" s="246"/>
      <c r="P40" s="246"/>
      <c r="R40" s="247"/>
      <c r="S40" s="248"/>
      <c r="T40" s="249"/>
      <c r="AG40" s="243">
        <v>652</v>
      </c>
      <c r="AH40" s="243">
        <f>1215</f>
        <v>1215</v>
      </c>
      <c r="AI40" s="243">
        <v>500</v>
      </c>
      <c r="AM40" s="243">
        <f>745.7</f>
        <v>745.7</v>
      </c>
      <c r="AN40" s="243" t="s">
        <v>161</v>
      </c>
      <c r="AO40" s="260"/>
    </row>
    <row r="41" spans="1:41" s="44" customFormat="1" ht="15.75" customHeight="1" thickBot="1">
      <c r="A41" s="71">
        <v>41</v>
      </c>
      <c r="B41" s="124">
        <v>10</v>
      </c>
      <c r="C41" s="128">
        <f>2739-199.6-320-400-200-4000-350-30-20-350-236.9-280-25-20-100-1566.69-40-1072.15-234.5-234.5-147.4-70-150-20-AE41-AH41-AI41-70-25-50-AJ41</f>
        <v>-8420.5400000000009</v>
      </c>
      <c r="E41" s="42">
        <v>36</v>
      </c>
      <c r="F41" s="43">
        <v>0</v>
      </c>
      <c r="G41" s="44">
        <v>0</v>
      </c>
      <c r="I41" s="45"/>
      <c r="J41" s="45"/>
      <c r="K41" s="45"/>
      <c r="L41" s="99"/>
      <c r="M41" s="99">
        <v>99</v>
      </c>
      <c r="N41" s="99"/>
      <c r="O41" s="99"/>
      <c r="P41" s="99"/>
      <c r="R41" s="330" t="s">
        <v>49</v>
      </c>
      <c r="S41" s="331"/>
      <c r="T41" s="332"/>
      <c r="AE41" s="44">
        <f>332.8+60</f>
        <v>392.8</v>
      </c>
      <c r="AF41" s="44">
        <v>140</v>
      </c>
      <c r="AH41" s="44">
        <f>25+60+135</f>
        <v>220</v>
      </c>
      <c r="AI41" s="44">
        <f>60+25+40+140</f>
        <v>265</v>
      </c>
      <c r="AJ41" s="194">
        <f>70</f>
        <v>70</v>
      </c>
      <c r="AO41" s="259"/>
    </row>
    <row r="42" spans="1:41" ht="15.75" thickBot="1">
      <c r="A42" s="71">
        <v>42</v>
      </c>
      <c r="B42" s="124">
        <v>6</v>
      </c>
      <c r="C42" s="128">
        <f>U23-3539</f>
        <v>613</v>
      </c>
      <c r="E42" s="39"/>
      <c r="F42" s="40"/>
      <c r="AJ42" s="192"/>
    </row>
    <row r="43" spans="1:41" ht="15.75" thickBot="1">
      <c r="A43" s="71">
        <v>44</v>
      </c>
      <c r="B43" s="134">
        <v>6</v>
      </c>
      <c r="C43" s="128">
        <f>U31-264.13-1960-495.45-49.53-AE43-AF43-AG43-AI43-AK43-AL43-AM43-AO43</f>
        <v>-2430.4899999999998</v>
      </c>
      <c r="E43" s="39"/>
      <c r="F43" s="40"/>
      <c r="AE43" s="22">
        <v>264</v>
      </c>
      <c r="AF43" s="22">
        <v>150</v>
      </c>
      <c r="AG43" s="22">
        <v>699.73</v>
      </c>
      <c r="AI43" s="22">
        <v>210</v>
      </c>
      <c r="AJ43" s="192"/>
      <c r="AK43" s="22">
        <v>156.1</v>
      </c>
      <c r="AL43" s="22">
        <v>340.93</v>
      </c>
      <c r="AM43" s="22">
        <f>234</f>
        <v>234</v>
      </c>
      <c r="AO43" s="257">
        <v>1250</v>
      </c>
    </row>
    <row r="44" spans="1:41" ht="15.75" thickBot="1">
      <c r="A44" s="71">
        <v>45</v>
      </c>
      <c r="B44" s="124">
        <v>10</v>
      </c>
      <c r="C44" s="128">
        <f>U24-453.12-367.73-1377.81-126.2-1260.8-AH44-AI44-65-AJ44-AK44-AL44-AM44-AN44</f>
        <v>142.54000000000042</v>
      </c>
      <c r="E44" s="39"/>
      <c r="F44" s="40"/>
      <c r="AH44" s="22">
        <f>150</f>
        <v>150</v>
      </c>
      <c r="AI44" s="22">
        <f>344+86+348.14</f>
        <v>778.14</v>
      </c>
      <c r="AJ44" s="192">
        <f>344.6+150</f>
        <v>494.6</v>
      </c>
      <c r="AK44" s="22">
        <f>30+60</f>
        <v>90</v>
      </c>
      <c r="AL44" s="22">
        <v>1394.06</v>
      </c>
      <c r="AM44" s="22">
        <f>100+30+30</f>
        <v>160</v>
      </c>
      <c r="AN44" s="22">
        <v>60</v>
      </c>
    </row>
    <row r="45" spans="1:41" ht="15.75" thickBot="1">
      <c r="A45" s="71">
        <v>47</v>
      </c>
      <c r="B45" s="124">
        <v>6</v>
      </c>
      <c r="C45" s="128">
        <f>U25-4968.5-140-148.7-AE45-AG45-AH45-AI45-50-150-276-AJ45-AK45-AM45-AN45-AO45</f>
        <v>-6145.7000000000007</v>
      </c>
      <c r="E45" s="39"/>
      <c r="F45" s="40"/>
      <c r="AE45" s="22">
        <v>550</v>
      </c>
      <c r="AG45" s="22">
        <v>248</v>
      </c>
      <c r="AH45" s="22">
        <f>150</f>
        <v>150</v>
      </c>
      <c r="AI45" s="22">
        <f>25+220+24.5</f>
        <v>269.5</v>
      </c>
      <c r="AJ45" s="192">
        <f>130</f>
        <v>130</v>
      </c>
      <c r="AK45" s="22">
        <v>33</v>
      </c>
      <c r="AM45" s="22">
        <f>60+476</f>
        <v>536</v>
      </c>
      <c r="AN45" s="22">
        <f>1000+3000+20</f>
        <v>4020</v>
      </c>
      <c r="AO45" s="257">
        <f>669+35</f>
        <v>704</v>
      </c>
    </row>
    <row r="46" spans="1:41" ht="15.75" thickBot="1">
      <c r="A46" s="71">
        <v>48</v>
      </c>
      <c r="B46" s="124">
        <v>6</v>
      </c>
      <c r="C46" s="128">
        <f>U26-500-AE46-AL46-AN46-AO46</f>
        <v>2227.829999999999</v>
      </c>
      <c r="E46" s="39"/>
      <c r="F46" s="40"/>
      <c r="AE46" s="22">
        <v>150</v>
      </c>
      <c r="AJ46" s="192"/>
      <c r="AL46" s="22">
        <f>1984.68+315.49</f>
        <v>2300.17</v>
      </c>
      <c r="AN46" s="22">
        <v>400</v>
      </c>
      <c r="AO46" s="257">
        <f>650</f>
        <v>650</v>
      </c>
    </row>
    <row r="47" spans="1:41" s="154" customFormat="1" ht="15.75" thickBot="1">
      <c r="A47" s="71">
        <v>53</v>
      </c>
      <c r="B47" s="145">
        <v>6</v>
      </c>
      <c r="C47" s="128">
        <f>3643.38-422.5-AE47-AK47-AM47-AN47</f>
        <v>1353.63</v>
      </c>
      <c r="E47" s="42"/>
      <c r="F47" s="43"/>
      <c r="AE47" s="154">
        <f>568.9+240</f>
        <v>808.9</v>
      </c>
      <c r="AJ47" s="192"/>
      <c r="AK47" s="154">
        <f>358.35</f>
        <v>358.35</v>
      </c>
      <c r="AM47" s="154">
        <v>70</v>
      </c>
      <c r="AN47" s="154">
        <v>630</v>
      </c>
      <c r="AO47" s="261"/>
    </row>
    <row r="48" spans="1:41" s="154" customFormat="1" ht="15.75" thickBot="1">
      <c r="A48" s="71">
        <v>55</v>
      </c>
      <c r="B48" s="255">
        <v>6</v>
      </c>
      <c r="C48" s="128">
        <f>3186.66-AN48</f>
        <v>2430.66</v>
      </c>
      <c r="E48" s="42"/>
      <c r="F48" s="43"/>
      <c r="AJ48" s="192"/>
      <c r="AN48" s="154">
        <v>756</v>
      </c>
      <c r="AO48" s="261"/>
    </row>
    <row r="49" spans="1:43" ht="15.75" thickBot="1">
      <c r="A49" s="71">
        <v>56</v>
      </c>
      <c r="B49" s="142">
        <v>6</v>
      </c>
      <c r="C49" s="128">
        <f>U49-111-140-AM49-AN49</f>
        <v>-6207.62</v>
      </c>
      <c r="E49" s="39"/>
      <c r="F49" s="40"/>
      <c r="U49" s="22">
        <f>351*6*1.73</f>
        <v>3643.38</v>
      </c>
      <c r="V49" s="44" t="s">
        <v>150</v>
      </c>
      <c r="AD49" s="22">
        <v>145</v>
      </c>
      <c r="AJ49" s="192"/>
      <c r="AM49" s="22">
        <f>3800+2000</f>
        <v>5800</v>
      </c>
      <c r="AN49" s="22">
        <v>3800</v>
      </c>
    </row>
    <row r="50" spans="1:43" ht="15.75" thickBot="1">
      <c r="A50" s="71">
        <v>58</v>
      </c>
      <c r="B50" s="162">
        <v>6</v>
      </c>
      <c r="C50" s="128">
        <f>U50-671</f>
        <v>2972.38</v>
      </c>
      <c r="E50" s="39"/>
      <c r="F50" s="40"/>
      <c r="U50" s="22">
        <f>351*6*1.73</f>
        <v>3643.38</v>
      </c>
      <c r="V50" s="44" t="s">
        <v>150</v>
      </c>
      <c r="AJ50" s="192"/>
    </row>
    <row r="51" spans="1:43" ht="21.75" customHeight="1" thickBot="1">
      <c r="A51" s="71">
        <v>60</v>
      </c>
      <c r="B51" s="124">
        <v>6</v>
      </c>
      <c r="C51" s="128">
        <f>U27-1123.76-30-150</f>
        <v>966.34600000000023</v>
      </c>
      <c r="E51" s="39"/>
      <c r="F51" s="40"/>
      <c r="AJ51" s="192"/>
    </row>
    <row r="52" spans="1:43" ht="15.75" thickBot="1">
      <c r="A52" s="71">
        <v>61</v>
      </c>
      <c r="B52" s="183">
        <v>6</v>
      </c>
      <c r="C52" s="128">
        <f>U28-149-660-260-AF52-AG52</f>
        <v>6030</v>
      </c>
      <c r="E52" s="39"/>
      <c r="F52" s="40"/>
      <c r="AF52" s="22">
        <v>100</v>
      </c>
      <c r="AG52" s="22">
        <v>801</v>
      </c>
      <c r="AJ52" s="192"/>
    </row>
    <row r="53" spans="1:43" ht="15.75" thickBot="1">
      <c r="A53" s="71">
        <v>62</v>
      </c>
      <c r="B53" s="234">
        <v>6</v>
      </c>
      <c r="C53" s="215">
        <v>7286.6</v>
      </c>
      <c r="E53" s="39"/>
      <c r="F53" s="40"/>
      <c r="AJ53" s="192"/>
    </row>
    <row r="54" spans="1:43" ht="15.75" thickBot="1">
      <c r="A54" s="130">
        <v>64</v>
      </c>
      <c r="B54" s="73">
        <v>6</v>
      </c>
      <c r="C54" s="129">
        <f>U54-AI54</f>
        <v>7136.7599999999993</v>
      </c>
      <c r="E54" s="39"/>
      <c r="F54" s="40"/>
      <c r="U54" s="22">
        <v>7286.7599999999993</v>
      </c>
      <c r="V54" s="214" t="s">
        <v>147</v>
      </c>
      <c r="AI54" s="22">
        <v>150</v>
      </c>
      <c r="AJ54" s="218" t="s">
        <v>139</v>
      </c>
    </row>
    <row r="55" spans="1:43" s="29" customFormat="1" ht="21" customHeight="1">
      <c r="A55" s="30" t="s">
        <v>41</v>
      </c>
      <c r="B55" s="30"/>
      <c r="C55" s="30"/>
      <c r="D55" s="30"/>
      <c r="E55" s="22"/>
      <c r="F55" s="22"/>
      <c r="G55" s="22"/>
      <c r="H55" s="22"/>
      <c r="AO55" s="256"/>
    </row>
    <row r="56" spans="1:43">
      <c r="G56" s="22">
        <v>0</v>
      </c>
      <c r="H56" s="29"/>
    </row>
    <row r="57" spans="1:43" s="154" customFormat="1" ht="45.75" thickBot="1">
      <c r="A57" s="187">
        <v>55</v>
      </c>
      <c r="B57" s="188"/>
      <c r="C57" s="189" t="s">
        <v>148</v>
      </c>
      <c r="E57" s="42"/>
      <c r="F57" s="43"/>
      <c r="U57" s="189">
        <f>307*6*1.73</f>
        <v>3186.66</v>
      </c>
      <c r="V57" s="267" t="s">
        <v>174</v>
      </c>
      <c r="AJ57" s="192"/>
      <c r="AO57" s="261"/>
    </row>
    <row r="58" spans="1:43" ht="15.75" thickBot="1">
      <c r="A58" s="186">
        <v>62</v>
      </c>
      <c r="B58" s="186">
        <v>6</v>
      </c>
      <c r="C58" s="266">
        <f>U58</f>
        <v>7286.7599999999993</v>
      </c>
      <c r="E58" s="39"/>
      <c r="F58" s="40"/>
      <c r="U58" s="22">
        <f>1.73*6*351*2</f>
        <v>7286.7599999999993</v>
      </c>
      <c r="V58" s="184" t="s">
        <v>147</v>
      </c>
      <c r="AI58" s="195" t="s">
        <v>149</v>
      </c>
      <c r="AJ58" s="192"/>
    </row>
    <row r="59" spans="1:43">
      <c r="A59" s="190">
        <v>59</v>
      </c>
      <c r="B59" s="190"/>
      <c r="C59" s="191" t="s">
        <v>175</v>
      </c>
      <c r="E59" s="238"/>
      <c r="F59" s="238"/>
      <c r="V59" s="184"/>
      <c r="AI59" s="195"/>
      <c r="AJ59" s="192"/>
      <c r="AN59" s="22">
        <v>745.7</v>
      </c>
      <c r="AO59" s="265" t="s">
        <v>172</v>
      </c>
      <c r="AP59" s="263" t="s">
        <v>173</v>
      </c>
      <c r="AQ59" s="264"/>
    </row>
    <row r="61" spans="1:43">
      <c r="A61" s="22" t="s">
        <v>49</v>
      </c>
      <c r="G61" s="29"/>
    </row>
    <row r="62" spans="1:43">
      <c r="A62" s="22" t="s">
        <v>49</v>
      </c>
    </row>
    <row r="63" spans="1:43">
      <c r="A63" s="22" t="s">
        <v>49</v>
      </c>
    </row>
    <row r="64" spans="1:43">
      <c r="A64" s="22" t="s">
        <v>49</v>
      </c>
    </row>
    <row r="65" spans="1:1">
      <c r="A65" s="22" t="s">
        <v>49</v>
      </c>
    </row>
    <row r="66" spans="1:1">
      <c r="A66" s="22" t="s">
        <v>49</v>
      </c>
    </row>
    <row r="67" spans="1:1">
      <c r="A67" s="22" t="s">
        <v>49</v>
      </c>
    </row>
    <row r="68" spans="1:1">
      <c r="A68" s="22" t="s">
        <v>49</v>
      </c>
    </row>
    <row r="69" spans="1:1">
      <c r="A69" s="22">
        <v>889.2</v>
      </c>
    </row>
    <row r="70" spans="1:1">
      <c r="A70" s="22" t="s">
        <v>49</v>
      </c>
    </row>
    <row r="71" spans="1:1">
      <c r="A71" s="22" t="s">
        <v>49</v>
      </c>
    </row>
    <row r="72" spans="1:1">
      <c r="A72" s="22" t="s">
        <v>49</v>
      </c>
    </row>
    <row r="73" spans="1:1">
      <c r="A73" s="22">
        <v>2759</v>
      </c>
    </row>
    <row r="74" spans="1:1">
      <c r="A74" s="22" t="s">
        <v>49</v>
      </c>
    </row>
    <row r="75" spans="1:1">
      <c r="A75" s="22" t="s">
        <v>49</v>
      </c>
    </row>
    <row r="76" spans="1:1">
      <c r="A76" s="22" t="s">
        <v>49</v>
      </c>
    </row>
    <row r="77" spans="1:1">
      <c r="A77" s="22" t="s">
        <v>49</v>
      </c>
    </row>
    <row r="78" spans="1:1">
      <c r="A78" s="22" t="s">
        <v>49</v>
      </c>
    </row>
    <row r="79" spans="1:1">
      <c r="A79" s="22">
        <v>10342</v>
      </c>
    </row>
    <row r="80" spans="1:1">
      <c r="A80" s="22" t="s">
        <v>49</v>
      </c>
    </row>
    <row r="81" spans="1:1">
      <c r="A81" s="22">
        <v>1471.8000000000002</v>
      </c>
    </row>
    <row r="82" spans="1:1">
      <c r="A82" s="22" t="s">
        <v>49</v>
      </c>
    </row>
    <row r="83" spans="1:1">
      <c r="A83" s="22">
        <v>94.460000000000008</v>
      </c>
    </row>
    <row r="84" spans="1:1">
      <c r="A84" s="22">
        <v>833</v>
      </c>
    </row>
    <row r="85" spans="1:1">
      <c r="A85" s="22" t="s">
        <v>49</v>
      </c>
    </row>
    <row r="86" spans="1:1">
      <c r="A86" s="22" t="s">
        <v>49</v>
      </c>
    </row>
    <row r="87" spans="1:1">
      <c r="A87" s="22">
        <v>427</v>
      </c>
    </row>
    <row r="88" spans="1:1">
      <c r="A88" s="22">
        <v>1600</v>
      </c>
    </row>
    <row r="89" spans="1:1">
      <c r="A89" s="22" t="s">
        <v>49</v>
      </c>
    </row>
    <row r="90" spans="1:1">
      <c r="A90" s="22">
        <v>3354</v>
      </c>
    </row>
    <row r="91" spans="1:1">
      <c r="A91" s="22" t="s">
        <v>49</v>
      </c>
    </row>
    <row r="92" spans="1:1">
      <c r="A92" s="22">
        <v>6622.9</v>
      </c>
    </row>
    <row r="93" spans="1:1">
      <c r="A93" s="22">
        <v>1874</v>
      </c>
    </row>
    <row r="94" spans="1:1">
      <c r="A94" s="22" t="s">
        <v>49</v>
      </c>
    </row>
    <row r="95" spans="1:1">
      <c r="A95" s="22">
        <v>3024</v>
      </c>
    </row>
    <row r="96" spans="1:1">
      <c r="A96" s="22">
        <v>2688</v>
      </c>
    </row>
    <row r="97" spans="1:1">
      <c r="A97" s="22">
        <v>1966</v>
      </c>
    </row>
    <row r="98" spans="1:1">
      <c r="A98" s="22">
        <v>7542</v>
      </c>
    </row>
    <row r="99" spans="1:1">
      <c r="A99" s="22">
        <v>1619.4</v>
      </c>
    </row>
  </sheetData>
  <autoFilter ref="A3:AM59"/>
  <mergeCells count="30">
    <mergeCell ref="R35:T35"/>
    <mergeCell ref="R41:T41"/>
    <mergeCell ref="R24:T24"/>
    <mergeCell ref="R26:T26"/>
    <mergeCell ref="R30:T30"/>
    <mergeCell ref="R19:T19"/>
    <mergeCell ref="R20:T20"/>
    <mergeCell ref="R21:T21"/>
    <mergeCell ref="R22:T22"/>
    <mergeCell ref="R23:T23"/>
    <mergeCell ref="R14:T14"/>
    <mergeCell ref="R15:T15"/>
    <mergeCell ref="R16:T16"/>
    <mergeCell ref="R17:T17"/>
    <mergeCell ref="R18:T18"/>
    <mergeCell ref="R9:T9"/>
    <mergeCell ref="R10:T10"/>
    <mergeCell ref="R11:T11"/>
    <mergeCell ref="R12:T12"/>
    <mergeCell ref="R13:T13"/>
    <mergeCell ref="R4:T4"/>
    <mergeCell ref="R5:T5"/>
    <mergeCell ref="R6:T6"/>
    <mergeCell ref="R7:T7"/>
    <mergeCell ref="R8:T8"/>
    <mergeCell ref="A1:C1"/>
    <mergeCell ref="A2:C2"/>
    <mergeCell ref="M2:M3"/>
    <mergeCell ref="L2:L3"/>
    <mergeCell ref="N2:N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1221"/>
  <sheetViews>
    <sheetView view="pageBreakPreview" zoomScale="106" zoomScaleNormal="85" zoomScaleSheetLayoutView="106" workbookViewId="0">
      <selection activeCell="C1219" sqref="A1:D1219"/>
    </sheetView>
  </sheetViews>
  <sheetFormatPr defaultRowHeight="12.75"/>
  <cols>
    <col min="1" max="1" width="9.140625" customWidth="1"/>
    <col min="2" max="2" width="15.85546875" customWidth="1"/>
    <col min="3" max="3" width="12.5703125" customWidth="1"/>
    <col min="4" max="4" width="51.28515625" customWidth="1"/>
    <col min="5" max="6" width="9.140625" customWidth="1"/>
  </cols>
  <sheetData>
    <row r="1" spans="1:9" ht="49.5" customHeight="1" thickBot="1">
      <c r="A1" s="335" t="s">
        <v>170</v>
      </c>
      <c r="B1" s="335"/>
      <c r="C1" s="335"/>
      <c r="D1" s="335"/>
    </row>
    <row r="2" spans="1:9" ht="15.75" customHeight="1" thickBot="1">
      <c r="A2" s="336" t="s">
        <v>1</v>
      </c>
      <c r="B2" s="338" t="s">
        <v>14</v>
      </c>
      <c r="C2" s="340" t="s">
        <v>7</v>
      </c>
      <c r="D2" s="341"/>
    </row>
    <row r="3" spans="1:9" ht="39" thickBot="1">
      <c r="A3" s="337"/>
      <c r="B3" s="339"/>
      <c r="C3" s="35" t="s">
        <v>29</v>
      </c>
      <c r="D3" s="35" t="s">
        <v>46</v>
      </c>
      <c r="G3" s="62"/>
      <c r="H3" s="62"/>
      <c r="I3" s="62"/>
    </row>
    <row r="4" spans="1:9" ht="14.25" customHeight="1">
      <c r="A4" s="225">
        <v>1</v>
      </c>
      <c r="B4" s="83">
        <v>2</v>
      </c>
      <c r="C4" s="83" t="s">
        <v>38</v>
      </c>
      <c r="D4" s="226">
        <v>215.02800000000002</v>
      </c>
      <c r="G4" s="62"/>
      <c r="H4" s="62"/>
      <c r="I4" s="62"/>
    </row>
    <row r="5" spans="1:9" ht="14.25" customHeight="1">
      <c r="A5" s="84">
        <v>2</v>
      </c>
      <c r="B5" s="85">
        <v>4</v>
      </c>
      <c r="C5" s="85" t="s">
        <v>38</v>
      </c>
      <c r="D5" s="227">
        <v>49.03</v>
      </c>
      <c r="G5" s="62"/>
      <c r="H5" s="62"/>
      <c r="I5" s="62"/>
    </row>
    <row r="6" spans="1:9" ht="14.25" customHeight="1">
      <c r="A6" s="84">
        <v>3</v>
      </c>
      <c r="B6" s="85">
        <v>5</v>
      </c>
      <c r="C6" s="85" t="s">
        <v>38</v>
      </c>
      <c r="D6" s="227">
        <v>-446.52435880000007</v>
      </c>
      <c r="G6" s="62"/>
      <c r="H6" s="62"/>
      <c r="I6" s="62"/>
    </row>
    <row r="7" spans="1:9" ht="14.25" customHeight="1">
      <c r="A7" s="82">
        <v>4</v>
      </c>
      <c r="B7" s="85">
        <v>6</v>
      </c>
      <c r="C7" s="85" t="s">
        <v>38</v>
      </c>
      <c r="D7" s="227">
        <v>-50.153640000000053</v>
      </c>
      <c r="G7" s="62"/>
      <c r="H7" s="62"/>
      <c r="I7" s="62"/>
    </row>
    <row r="8" spans="1:9" ht="14.25" customHeight="1">
      <c r="A8" s="82">
        <v>5</v>
      </c>
      <c r="B8" s="85">
        <v>8</v>
      </c>
      <c r="C8" s="85" t="s">
        <v>38</v>
      </c>
      <c r="D8" s="227">
        <v>-326.92750000000001</v>
      </c>
      <c r="G8" s="62"/>
      <c r="H8" s="62"/>
      <c r="I8" s="62"/>
    </row>
    <row r="9" spans="1:9" ht="14.25" customHeight="1">
      <c r="A9" s="84">
        <v>6</v>
      </c>
      <c r="B9" s="85">
        <v>9</v>
      </c>
      <c r="C9" s="85" t="s">
        <v>38</v>
      </c>
      <c r="D9" s="227">
        <v>-227.70799999999997</v>
      </c>
      <c r="G9" s="62"/>
      <c r="H9" s="62"/>
      <c r="I9" s="62"/>
    </row>
    <row r="10" spans="1:9" ht="14.25" customHeight="1">
      <c r="A10" s="84">
        <v>7</v>
      </c>
      <c r="B10" s="85">
        <v>10</v>
      </c>
      <c r="C10" s="85" t="s">
        <v>38</v>
      </c>
      <c r="D10" s="227">
        <v>48.184457500000008</v>
      </c>
      <c r="G10" s="62"/>
      <c r="H10" s="62"/>
      <c r="I10" s="62"/>
    </row>
    <row r="11" spans="1:9" ht="14.25" customHeight="1">
      <c r="A11" s="82">
        <v>8</v>
      </c>
      <c r="B11" s="85">
        <v>11</v>
      </c>
      <c r="C11" s="85" t="s">
        <v>38</v>
      </c>
      <c r="D11" s="227">
        <v>-126.47056249999997</v>
      </c>
      <c r="G11" s="62"/>
      <c r="H11" s="62"/>
      <c r="I11" s="62"/>
    </row>
    <row r="12" spans="1:9" ht="14.25" customHeight="1">
      <c r="A12" s="82">
        <v>9</v>
      </c>
      <c r="B12" s="85">
        <v>13</v>
      </c>
      <c r="C12" s="85" t="s">
        <v>38</v>
      </c>
      <c r="D12" s="227">
        <v>0.11830000000000496</v>
      </c>
      <c r="G12" s="62"/>
      <c r="H12" s="62"/>
      <c r="I12" s="62"/>
    </row>
    <row r="13" spans="1:9" ht="14.25" customHeight="1">
      <c r="A13" s="84">
        <v>10</v>
      </c>
      <c r="B13" s="85">
        <v>14</v>
      </c>
      <c r="C13" s="85" t="s">
        <v>38</v>
      </c>
      <c r="D13" s="227">
        <v>-88.41</v>
      </c>
      <c r="G13" s="62"/>
      <c r="H13" s="62"/>
      <c r="I13" s="62"/>
    </row>
    <row r="14" spans="1:9" ht="14.25" customHeight="1">
      <c r="A14" s="84">
        <v>11</v>
      </c>
      <c r="B14" s="85">
        <v>15</v>
      </c>
      <c r="C14" s="85" t="s">
        <v>38</v>
      </c>
      <c r="D14" s="227">
        <v>27.548400000000044</v>
      </c>
      <c r="G14" s="62"/>
      <c r="H14" s="62"/>
      <c r="I14" s="62"/>
    </row>
    <row r="15" spans="1:9" ht="14.25" customHeight="1">
      <c r="A15" s="82">
        <v>12</v>
      </c>
      <c r="B15" s="85">
        <v>16</v>
      </c>
      <c r="C15" s="85" t="s">
        <v>38</v>
      </c>
      <c r="D15" s="227">
        <v>-74.300000000000011</v>
      </c>
      <c r="G15" s="62"/>
      <c r="H15" s="62"/>
      <c r="I15" s="62"/>
    </row>
    <row r="16" spans="1:9" ht="14.25" customHeight="1">
      <c r="A16" s="82">
        <v>13</v>
      </c>
      <c r="B16" s="85">
        <v>17</v>
      </c>
      <c r="C16" s="85" t="s">
        <v>38</v>
      </c>
      <c r="D16" s="227">
        <v>449.93725000000001</v>
      </c>
      <c r="G16" s="62"/>
      <c r="H16" s="62"/>
      <c r="I16" s="62"/>
    </row>
    <row r="17" spans="1:9" ht="14.25" customHeight="1">
      <c r="A17" s="84">
        <v>14</v>
      </c>
      <c r="B17" s="85">
        <v>18</v>
      </c>
      <c r="C17" s="85" t="s">
        <v>38</v>
      </c>
      <c r="D17" s="227">
        <v>-186.22865000000002</v>
      </c>
      <c r="G17" s="62"/>
      <c r="H17" s="62"/>
      <c r="I17" s="62"/>
    </row>
    <row r="18" spans="1:9" ht="14.25" customHeight="1">
      <c r="A18" s="84">
        <v>15</v>
      </c>
      <c r="B18" s="85">
        <v>19</v>
      </c>
      <c r="C18" s="85" t="s">
        <v>38</v>
      </c>
      <c r="D18" s="227">
        <v>117.34567999999996</v>
      </c>
      <c r="G18" s="62"/>
      <c r="H18" s="62"/>
      <c r="I18" s="62"/>
    </row>
    <row r="19" spans="1:9" ht="14.25" customHeight="1">
      <c r="A19" s="82">
        <v>16</v>
      </c>
      <c r="B19" s="85">
        <v>20</v>
      </c>
      <c r="C19" s="85" t="s">
        <v>38</v>
      </c>
      <c r="D19" s="227">
        <v>127.57868000000002</v>
      </c>
      <c r="G19" s="62"/>
      <c r="H19" s="62"/>
      <c r="I19" s="62"/>
    </row>
    <row r="20" spans="1:9" ht="14.25" customHeight="1">
      <c r="A20" s="82">
        <v>17</v>
      </c>
      <c r="B20" s="85">
        <v>21</v>
      </c>
      <c r="C20" s="85" t="s">
        <v>38</v>
      </c>
      <c r="D20" s="227">
        <v>52.341100000000012</v>
      </c>
      <c r="G20" s="62"/>
      <c r="H20" s="62"/>
      <c r="I20" s="62"/>
    </row>
    <row r="21" spans="1:9" ht="14.25" customHeight="1">
      <c r="A21" s="84">
        <v>18</v>
      </c>
      <c r="B21" s="85">
        <v>22</v>
      </c>
      <c r="C21" s="85" t="s">
        <v>38</v>
      </c>
      <c r="D21" s="227">
        <v>103.75974999999997</v>
      </c>
      <c r="G21" s="62"/>
      <c r="H21" s="62"/>
      <c r="I21" s="62"/>
    </row>
    <row r="22" spans="1:9" ht="14.25" customHeight="1">
      <c r="A22" s="84">
        <v>19</v>
      </c>
      <c r="B22" s="85">
        <v>23</v>
      </c>
      <c r="C22" s="85" t="s">
        <v>38</v>
      </c>
      <c r="D22" s="227">
        <v>-110.08600000000001</v>
      </c>
      <c r="G22" s="62"/>
      <c r="H22" s="62"/>
      <c r="I22" s="62"/>
    </row>
    <row r="23" spans="1:9" ht="14.25" customHeight="1">
      <c r="A23" s="82">
        <v>20</v>
      </c>
      <c r="B23" s="85">
        <v>24</v>
      </c>
      <c r="C23" s="85" t="s">
        <v>38</v>
      </c>
      <c r="D23" s="227">
        <v>-175.22209999999993</v>
      </c>
      <c r="G23" s="62"/>
      <c r="H23" s="62"/>
      <c r="I23" s="62"/>
    </row>
    <row r="24" spans="1:9" ht="14.25" customHeight="1">
      <c r="A24" s="82">
        <v>21</v>
      </c>
      <c r="B24" s="85">
        <v>27</v>
      </c>
      <c r="C24" s="85" t="s">
        <v>38</v>
      </c>
      <c r="D24" s="227">
        <v>-83.212999999999965</v>
      </c>
      <c r="G24" s="62"/>
      <c r="H24" s="62"/>
      <c r="I24" s="62"/>
    </row>
    <row r="25" spans="1:9" ht="14.25" customHeight="1">
      <c r="A25" s="84">
        <v>22</v>
      </c>
      <c r="B25" s="85">
        <v>28</v>
      </c>
      <c r="C25" s="85" t="s">
        <v>38</v>
      </c>
      <c r="D25" s="227">
        <v>-124.39999999999998</v>
      </c>
      <c r="G25" s="62"/>
      <c r="H25" s="62"/>
      <c r="I25" s="62"/>
    </row>
    <row r="26" spans="1:9" ht="14.25" customHeight="1">
      <c r="A26" s="84">
        <v>23</v>
      </c>
      <c r="B26" s="85">
        <v>29</v>
      </c>
      <c r="C26" s="85" t="s">
        <v>38</v>
      </c>
      <c r="D26" s="227">
        <v>-338.02088000000015</v>
      </c>
      <c r="G26" s="62"/>
      <c r="H26" s="62"/>
      <c r="I26" s="62"/>
    </row>
    <row r="27" spans="1:9" ht="14.25" customHeight="1">
      <c r="A27" s="82">
        <v>24</v>
      </c>
      <c r="B27" s="85">
        <v>34</v>
      </c>
      <c r="C27" s="85" t="s">
        <v>38</v>
      </c>
      <c r="D27" s="227">
        <v>201.07136</v>
      </c>
      <c r="G27" s="62"/>
      <c r="H27" s="62"/>
      <c r="I27" s="62"/>
    </row>
    <row r="28" spans="1:9" ht="14.25" customHeight="1">
      <c r="A28" s="82">
        <v>25</v>
      </c>
      <c r="B28" s="85">
        <v>35</v>
      </c>
      <c r="C28" s="85" t="s">
        <v>38</v>
      </c>
      <c r="D28" s="227">
        <v>157.31289999999996</v>
      </c>
      <c r="G28" s="62"/>
      <c r="H28" s="62"/>
      <c r="I28" s="62"/>
    </row>
    <row r="29" spans="1:9" ht="14.25" customHeight="1">
      <c r="A29" s="84">
        <v>26</v>
      </c>
      <c r="B29" s="85">
        <v>36</v>
      </c>
      <c r="C29" s="85" t="s">
        <v>38</v>
      </c>
      <c r="D29" s="227">
        <v>-891.86584999999991</v>
      </c>
      <c r="G29" s="62"/>
      <c r="H29" s="62"/>
      <c r="I29" s="62"/>
    </row>
    <row r="30" spans="1:9" ht="14.25" customHeight="1">
      <c r="A30" s="84">
        <v>27</v>
      </c>
      <c r="B30" s="85">
        <v>37</v>
      </c>
      <c r="C30" s="85" t="s">
        <v>38</v>
      </c>
      <c r="D30" s="227">
        <v>144.95600000000002</v>
      </c>
      <c r="G30" s="62"/>
      <c r="H30" s="62"/>
      <c r="I30" s="62"/>
    </row>
    <row r="31" spans="1:9" ht="14.25" customHeight="1">
      <c r="A31" s="82">
        <v>28</v>
      </c>
      <c r="B31" s="85">
        <v>40</v>
      </c>
      <c r="C31" s="85" t="s">
        <v>38</v>
      </c>
      <c r="D31" s="227">
        <v>334.2</v>
      </c>
      <c r="G31" s="62"/>
      <c r="H31" s="62"/>
      <c r="I31" s="62"/>
    </row>
    <row r="32" spans="1:9" ht="14.25" customHeight="1">
      <c r="A32" s="82">
        <v>29</v>
      </c>
      <c r="B32" s="85">
        <v>41</v>
      </c>
      <c r="C32" s="85" t="s">
        <v>38</v>
      </c>
      <c r="D32" s="227">
        <v>366.02425200000005</v>
      </c>
      <c r="G32" s="62"/>
      <c r="H32" s="62"/>
      <c r="I32" s="62"/>
    </row>
    <row r="33" spans="1:9" ht="14.25" customHeight="1">
      <c r="A33" s="84">
        <v>30</v>
      </c>
      <c r="B33" s="85">
        <v>42</v>
      </c>
      <c r="C33" s="85" t="s">
        <v>38</v>
      </c>
      <c r="D33" s="227">
        <v>138.40690499999999</v>
      </c>
      <c r="G33" s="62"/>
      <c r="H33" s="62"/>
      <c r="I33" s="62"/>
    </row>
    <row r="34" spans="1:9" ht="14.25" customHeight="1">
      <c r="A34" s="84">
        <v>31</v>
      </c>
      <c r="B34" s="85">
        <v>43</v>
      </c>
      <c r="C34" s="85" t="s">
        <v>38</v>
      </c>
      <c r="D34" s="227">
        <v>151.83803500000002</v>
      </c>
      <c r="G34" s="62"/>
      <c r="H34" s="62"/>
      <c r="I34" s="62"/>
    </row>
    <row r="35" spans="1:9" ht="14.25" customHeight="1">
      <c r="A35" s="82">
        <v>32</v>
      </c>
      <c r="B35" s="85">
        <v>45</v>
      </c>
      <c r="C35" s="85" t="s">
        <v>38</v>
      </c>
      <c r="D35" s="227">
        <v>-723.68</v>
      </c>
      <c r="G35" s="62"/>
      <c r="H35" s="62"/>
      <c r="I35" s="62"/>
    </row>
    <row r="36" spans="1:9" ht="14.25" customHeight="1">
      <c r="A36" s="82">
        <v>33</v>
      </c>
      <c r="B36" s="85">
        <v>48</v>
      </c>
      <c r="C36" s="85" t="s">
        <v>38</v>
      </c>
      <c r="D36" s="227">
        <v>-92.106699999999989</v>
      </c>
      <c r="G36" s="62"/>
      <c r="H36" s="62"/>
      <c r="I36" s="62"/>
    </row>
    <row r="37" spans="1:9" ht="14.25" customHeight="1">
      <c r="A37" s="84">
        <v>34</v>
      </c>
      <c r="B37" s="85">
        <v>49</v>
      </c>
      <c r="C37" s="85" t="s">
        <v>38</v>
      </c>
      <c r="D37" s="227">
        <v>-63.100000000000023</v>
      </c>
      <c r="G37" s="62"/>
      <c r="H37" s="62"/>
      <c r="I37" s="62"/>
    </row>
    <row r="38" spans="1:9" ht="14.25" customHeight="1">
      <c r="A38" s="84">
        <v>35</v>
      </c>
      <c r="B38" s="85">
        <v>50</v>
      </c>
      <c r="C38" s="85" t="s">
        <v>38</v>
      </c>
      <c r="D38" s="227">
        <v>175.62</v>
      </c>
      <c r="G38" s="62"/>
      <c r="H38" s="62"/>
      <c r="I38" s="62"/>
    </row>
    <row r="39" spans="1:9" ht="14.25" customHeight="1">
      <c r="A39" s="82">
        <v>36</v>
      </c>
      <c r="B39" s="85">
        <v>51</v>
      </c>
      <c r="C39" s="85" t="s">
        <v>38</v>
      </c>
      <c r="D39" s="227">
        <v>292.303675</v>
      </c>
      <c r="G39" s="62"/>
      <c r="H39" s="62"/>
      <c r="I39" s="62"/>
    </row>
    <row r="40" spans="1:9" ht="14.25" customHeight="1">
      <c r="A40" s="82">
        <v>37</v>
      </c>
      <c r="B40" s="85">
        <v>53</v>
      </c>
      <c r="C40" s="85" t="s">
        <v>38</v>
      </c>
      <c r="D40" s="227">
        <v>-15.965729999999951</v>
      </c>
      <c r="G40" s="62"/>
      <c r="H40" s="62"/>
      <c r="I40" s="62"/>
    </row>
    <row r="41" spans="1:9" ht="14.25" customHeight="1">
      <c r="A41" s="84">
        <v>38</v>
      </c>
      <c r="B41" s="85">
        <v>56</v>
      </c>
      <c r="C41" s="85" t="s">
        <v>38</v>
      </c>
      <c r="D41" s="227">
        <v>-956.97765000000004</v>
      </c>
      <c r="G41" s="62"/>
      <c r="H41" s="62"/>
      <c r="I41" s="62"/>
    </row>
    <row r="42" spans="1:9" ht="14.25" customHeight="1">
      <c r="A42" s="84">
        <v>39</v>
      </c>
      <c r="B42" s="85">
        <v>59</v>
      </c>
      <c r="C42" s="85" t="s">
        <v>38</v>
      </c>
      <c r="D42" s="227">
        <v>188.40999999999997</v>
      </c>
      <c r="G42" s="62"/>
      <c r="H42" s="62"/>
      <c r="I42" s="62"/>
    </row>
    <row r="43" spans="1:9" ht="14.25" customHeight="1">
      <c r="A43" s="82">
        <v>40</v>
      </c>
      <c r="B43" s="85">
        <v>61</v>
      </c>
      <c r="C43" s="85" t="s">
        <v>38</v>
      </c>
      <c r="D43" s="227">
        <v>14.710000000000008</v>
      </c>
      <c r="G43" s="62"/>
      <c r="H43" s="62"/>
      <c r="I43" s="62"/>
    </row>
    <row r="44" spans="1:9" ht="14.25" customHeight="1">
      <c r="A44" s="82">
        <v>41</v>
      </c>
      <c r="B44" s="85">
        <v>62</v>
      </c>
      <c r="C44" s="85" t="s">
        <v>38</v>
      </c>
      <c r="D44" s="227">
        <v>-409.77480000000014</v>
      </c>
      <c r="G44" s="62"/>
      <c r="H44" s="62"/>
      <c r="I44" s="62"/>
    </row>
    <row r="45" spans="1:9" ht="14.25" customHeight="1">
      <c r="A45" s="84">
        <v>42</v>
      </c>
      <c r="B45" s="85">
        <v>63</v>
      </c>
      <c r="C45" s="85" t="s">
        <v>38</v>
      </c>
      <c r="D45" s="227">
        <v>-270.20499999999998</v>
      </c>
      <c r="G45" s="62"/>
      <c r="H45" s="62"/>
      <c r="I45" s="62"/>
    </row>
    <row r="46" spans="1:9" ht="14.25" customHeight="1">
      <c r="A46" s="84">
        <v>43</v>
      </c>
      <c r="B46" s="85">
        <v>64</v>
      </c>
      <c r="C46" s="85" t="s">
        <v>38</v>
      </c>
      <c r="D46" s="227">
        <v>-45.737485000000028</v>
      </c>
      <c r="G46" s="62"/>
      <c r="H46" s="62"/>
      <c r="I46" s="62"/>
    </row>
    <row r="47" spans="1:9" ht="14.25" customHeight="1">
      <c r="A47" s="82">
        <v>44</v>
      </c>
      <c r="B47" s="85">
        <v>65</v>
      </c>
      <c r="C47" s="85" t="s">
        <v>38</v>
      </c>
      <c r="D47" s="227">
        <v>40.763715000000019</v>
      </c>
      <c r="G47" s="62"/>
      <c r="H47" s="62"/>
      <c r="I47" s="62"/>
    </row>
    <row r="48" spans="1:9" ht="14.25" customHeight="1">
      <c r="A48" s="82">
        <v>45</v>
      </c>
      <c r="B48" s="85">
        <v>66</v>
      </c>
      <c r="C48" s="85" t="s">
        <v>38</v>
      </c>
      <c r="D48" s="227">
        <v>307.90440000000001</v>
      </c>
      <c r="G48" s="62"/>
      <c r="H48" s="62"/>
      <c r="I48" s="62"/>
    </row>
    <row r="49" spans="1:9" ht="14.25" customHeight="1">
      <c r="A49" s="84">
        <v>46</v>
      </c>
      <c r="B49" s="85">
        <v>67</v>
      </c>
      <c r="C49" s="85" t="s">
        <v>38</v>
      </c>
      <c r="D49" s="227">
        <v>190.18221750000004</v>
      </c>
      <c r="G49" s="62"/>
      <c r="H49" s="62"/>
      <c r="I49" s="62"/>
    </row>
    <row r="50" spans="1:9" ht="14.25" customHeight="1">
      <c r="A50" s="84">
        <v>47</v>
      </c>
      <c r="B50" s="85">
        <v>72</v>
      </c>
      <c r="C50" s="85" t="s">
        <v>38</v>
      </c>
      <c r="D50" s="227">
        <v>-596.15504375</v>
      </c>
      <c r="G50" s="62"/>
      <c r="H50" s="62"/>
      <c r="I50" s="62"/>
    </row>
    <row r="51" spans="1:9" ht="14.25" customHeight="1">
      <c r="A51" s="82">
        <v>48</v>
      </c>
      <c r="B51" s="85">
        <v>73</v>
      </c>
      <c r="C51" s="85" t="s">
        <v>38</v>
      </c>
      <c r="D51" s="227">
        <v>-205.57706249999995</v>
      </c>
      <c r="G51" s="62"/>
      <c r="H51" s="62"/>
      <c r="I51" s="62"/>
    </row>
    <row r="52" spans="1:9" ht="14.25" customHeight="1">
      <c r="A52" s="82">
        <v>49</v>
      </c>
      <c r="B52" s="85">
        <v>74</v>
      </c>
      <c r="C52" s="85" t="s">
        <v>38</v>
      </c>
      <c r="D52" s="227">
        <v>24.060200000000037</v>
      </c>
      <c r="G52" s="62"/>
      <c r="H52" s="62"/>
      <c r="I52" s="62"/>
    </row>
    <row r="53" spans="1:9" ht="14.25" customHeight="1">
      <c r="A53" s="84">
        <v>50</v>
      </c>
      <c r="B53" s="85">
        <v>75</v>
      </c>
      <c r="C53" s="85" t="s">
        <v>38</v>
      </c>
      <c r="D53" s="227">
        <v>-20.149748500000044</v>
      </c>
      <c r="G53" s="62"/>
      <c r="H53" s="62"/>
      <c r="I53" s="62"/>
    </row>
    <row r="54" spans="1:9" ht="14.25" customHeight="1">
      <c r="A54" s="84">
        <v>51</v>
      </c>
      <c r="B54" s="85">
        <v>78</v>
      </c>
      <c r="C54" s="85" t="s">
        <v>38</v>
      </c>
      <c r="D54" s="227">
        <v>-20.618899999999996</v>
      </c>
      <c r="G54" s="62"/>
      <c r="H54" s="62"/>
      <c r="I54" s="62"/>
    </row>
    <row r="55" spans="1:9" ht="14.25" customHeight="1">
      <c r="A55" s="82">
        <v>52</v>
      </c>
      <c r="B55" s="85">
        <v>80</v>
      </c>
      <c r="C55" s="85" t="s">
        <v>38</v>
      </c>
      <c r="D55" s="227">
        <v>201.49175199999999</v>
      </c>
      <c r="G55" s="62"/>
      <c r="H55" s="62"/>
      <c r="I55" s="62"/>
    </row>
    <row r="56" spans="1:9" ht="14.25" customHeight="1">
      <c r="A56" s="82">
        <v>53</v>
      </c>
      <c r="B56" s="85">
        <v>81</v>
      </c>
      <c r="C56" s="85" t="s">
        <v>38</v>
      </c>
      <c r="D56" s="227">
        <v>241.47900000000001</v>
      </c>
      <c r="G56" s="62"/>
      <c r="H56" s="62"/>
      <c r="I56" s="62"/>
    </row>
    <row r="57" spans="1:9" ht="14.25" customHeight="1">
      <c r="A57" s="84">
        <v>54</v>
      </c>
      <c r="B57" s="85">
        <v>82</v>
      </c>
      <c r="C57" s="85" t="s">
        <v>38</v>
      </c>
      <c r="D57" s="227">
        <v>126.32999999999998</v>
      </c>
      <c r="G57" s="62"/>
      <c r="H57" s="62"/>
      <c r="I57" s="62"/>
    </row>
    <row r="58" spans="1:9" ht="14.25" customHeight="1">
      <c r="A58" s="84">
        <v>55</v>
      </c>
      <c r="B58" s="85">
        <v>83</v>
      </c>
      <c r="C58" s="85" t="s">
        <v>38</v>
      </c>
      <c r="D58" s="227">
        <v>-90.083242499999869</v>
      </c>
      <c r="G58" s="62"/>
      <c r="H58" s="62"/>
      <c r="I58" s="62"/>
    </row>
    <row r="59" spans="1:9" ht="14.25" customHeight="1">
      <c r="A59" s="82">
        <v>56</v>
      </c>
      <c r="B59" s="85">
        <v>84</v>
      </c>
      <c r="C59" s="85" t="s">
        <v>38</v>
      </c>
      <c r="D59" s="227">
        <v>-40.173093750000042</v>
      </c>
      <c r="G59" s="62"/>
      <c r="H59" s="62"/>
      <c r="I59" s="62"/>
    </row>
    <row r="60" spans="1:9" ht="14.25" customHeight="1">
      <c r="A60" s="82">
        <v>57</v>
      </c>
      <c r="B60" s="85">
        <v>92</v>
      </c>
      <c r="C60" s="85" t="s">
        <v>38</v>
      </c>
      <c r="D60" s="227">
        <v>-76.291129999999981</v>
      </c>
      <c r="G60" s="62"/>
      <c r="H60" s="62"/>
      <c r="I60" s="62"/>
    </row>
    <row r="61" spans="1:9" ht="14.25" customHeight="1">
      <c r="A61" s="84">
        <v>58</v>
      </c>
      <c r="B61" s="85">
        <v>94</v>
      </c>
      <c r="C61" s="85" t="s">
        <v>38</v>
      </c>
      <c r="D61" s="227">
        <v>-382.90112600000009</v>
      </c>
      <c r="G61" s="62"/>
      <c r="H61" s="62"/>
      <c r="I61" s="62"/>
    </row>
    <row r="62" spans="1:9" ht="14.25" customHeight="1">
      <c r="A62" s="84">
        <v>59</v>
      </c>
      <c r="B62" s="85">
        <v>95</v>
      </c>
      <c r="C62" s="85" t="s">
        <v>38</v>
      </c>
      <c r="D62" s="227">
        <v>-69.32316000000003</v>
      </c>
      <c r="G62" s="62"/>
      <c r="H62" s="62"/>
      <c r="I62" s="62"/>
    </row>
    <row r="63" spans="1:9" ht="14.25" customHeight="1">
      <c r="A63" s="82">
        <v>60</v>
      </c>
      <c r="B63" s="85">
        <v>96</v>
      </c>
      <c r="C63" s="85" t="s">
        <v>38</v>
      </c>
      <c r="D63" s="227">
        <v>357.32983999999999</v>
      </c>
      <c r="G63" s="62"/>
      <c r="H63" s="62"/>
      <c r="I63" s="62"/>
    </row>
    <row r="64" spans="1:9" ht="14.25" customHeight="1">
      <c r="A64" s="82">
        <v>61</v>
      </c>
      <c r="B64" s="85">
        <v>97</v>
      </c>
      <c r="C64" s="85" t="s">
        <v>38</v>
      </c>
      <c r="D64" s="227">
        <v>46.627999999999986</v>
      </c>
      <c r="G64" s="62"/>
      <c r="H64" s="62"/>
      <c r="I64" s="62"/>
    </row>
    <row r="65" spans="1:9" ht="14.25" customHeight="1">
      <c r="A65" s="84">
        <v>62</v>
      </c>
      <c r="B65" s="85">
        <v>98</v>
      </c>
      <c r="C65" s="85" t="s">
        <v>38</v>
      </c>
      <c r="D65" s="227">
        <v>456.36748999999998</v>
      </c>
      <c r="G65" s="62"/>
      <c r="H65" s="62"/>
      <c r="I65" s="62"/>
    </row>
    <row r="66" spans="1:9" ht="14.25" customHeight="1">
      <c r="A66" s="84">
        <v>63</v>
      </c>
      <c r="B66" s="85">
        <v>102</v>
      </c>
      <c r="C66" s="85" t="s">
        <v>38</v>
      </c>
      <c r="D66" s="227">
        <v>249.16674</v>
      </c>
      <c r="G66" s="62"/>
      <c r="H66" s="62"/>
      <c r="I66" s="62"/>
    </row>
    <row r="67" spans="1:9" ht="14.25" customHeight="1">
      <c r="A67" s="82">
        <v>64</v>
      </c>
      <c r="B67" s="85">
        <v>104</v>
      </c>
      <c r="C67" s="85" t="s">
        <v>38</v>
      </c>
      <c r="D67" s="227">
        <v>-223.39999999999992</v>
      </c>
      <c r="G67" s="62"/>
      <c r="H67" s="62"/>
      <c r="I67" s="62"/>
    </row>
    <row r="68" spans="1:9" ht="14.25" customHeight="1">
      <c r="A68" s="82">
        <v>65</v>
      </c>
      <c r="B68" s="85">
        <v>105</v>
      </c>
      <c r="C68" s="85" t="s">
        <v>38</v>
      </c>
      <c r="D68" s="227">
        <v>88.684600000000017</v>
      </c>
      <c r="G68" s="62"/>
      <c r="H68" s="62"/>
      <c r="I68" s="62"/>
    </row>
    <row r="69" spans="1:9" ht="14.25" customHeight="1">
      <c r="A69" s="84">
        <v>66</v>
      </c>
      <c r="B69" s="85">
        <v>106</v>
      </c>
      <c r="C69" s="85" t="s">
        <v>38</v>
      </c>
      <c r="D69" s="227">
        <v>69.319999999999993</v>
      </c>
      <c r="G69" s="62"/>
      <c r="H69" s="62"/>
      <c r="I69" s="62"/>
    </row>
    <row r="70" spans="1:9" ht="14.25" customHeight="1">
      <c r="A70" s="84">
        <v>67</v>
      </c>
      <c r="B70" s="85">
        <v>107</v>
      </c>
      <c r="C70" s="85" t="s">
        <v>38</v>
      </c>
      <c r="D70" s="227">
        <v>7.4766500000000065</v>
      </c>
      <c r="G70" s="62"/>
      <c r="H70" s="62"/>
      <c r="I70" s="62"/>
    </row>
    <row r="71" spans="1:9" ht="14.25" customHeight="1">
      <c r="A71" s="82">
        <v>68</v>
      </c>
      <c r="B71" s="85">
        <v>108</v>
      </c>
      <c r="C71" s="85" t="s">
        <v>38</v>
      </c>
      <c r="D71" s="227">
        <v>-94.366184999999973</v>
      </c>
      <c r="G71" s="62"/>
      <c r="H71" s="62"/>
      <c r="I71" s="62"/>
    </row>
    <row r="72" spans="1:9" ht="14.25" customHeight="1">
      <c r="A72" s="82">
        <v>69</v>
      </c>
      <c r="B72" s="85">
        <v>110</v>
      </c>
      <c r="C72" s="85" t="s">
        <v>38</v>
      </c>
      <c r="D72" s="227">
        <v>5.9399999999999977</v>
      </c>
      <c r="G72" s="62"/>
      <c r="H72" s="62"/>
      <c r="I72" s="62"/>
    </row>
    <row r="73" spans="1:9" ht="14.25" customHeight="1">
      <c r="A73" s="84">
        <v>70</v>
      </c>
      <c r="B73" s="85">
        <v>111</v>
      </c>
      <c r="C73" s="85" t="s">
        <v>38</v>
      </c>
      <c r="D73" s="227">
        <v>86.657800000000009</v>
      </c>
      <c r="G73" s="62"/>
      <c r="H73" s="62"/>
      <c r="I73" s="62"/>
    </row>
    <row r="74" spans="1:9" ht="14.25" customHeight="1">
      <c r="A74" s="84">
        <v>71</v>
      </c>
      <c r="B74" s="85">
        <v>112</v>
      </c>
      <c r="C74" s="85" t="s">
        <v>38</v>
      </c>
      <c r="D74" s="227">
        <v>54.5548</v>
      </c>
      <c r="G74" s="62"/>
      <c r="H74" s="62"/>
      <c r="I74" s="62"/>
    </row>
    <row r="75" spans="1:9" ht="14.25" customHeight="1">
      <c r="A75" s="82">
        <v>72</v>
      </c>
      <c r="B75" s="85">
        <v>113</v>
      </c>
      <c r="C75" s="85" t="s">
        <v>38</v>
      </c>
      <c r="D75" s="227">
        <v>57.117799999999988</v>
      </c>
      <c r="G75" s="62"/>
      <c r="H75" s="62"/>
      <c r="I75" s="62"/>
    </row>
    <row r="76" spans="1:9" ht="14.25" customHeight="1">
      <c r="A76" s="82">
        <v>73</v>
      </c>
      <c r="B76" s="85">
        <v>118</v>
      </c>
      <c r="C76" s="85" t="s">
        <v>38</v>
      </c>
      <c r="D76" s="227">
        <v>57.280900000000031</v>
      </c>
      <c r="G76" s="62"/>
      <c r="H76" s="62"/>
      <c r="I76" s="62"/>
    </row>
    <row r="77" spans="1:9" ht="14.25" customHeight="1">
      <c r="A77" s="84">
        <v>74</v>
      </c>
      <c r="B77" s="85">
        <v>119</v>
      </c>
      <c r="C77" s="85" t="s">
        <v>38</v>
      </c>
      <c r="D77" s="227">
        <v>-68.3</v>
      </c>
      <c r="G77" s="62"/>
      <c r="H77" s="62"/>
      <c r="I77" s="62"/>
    </row>
    <row r="78" spans="1:9" ht="14.25" customHeight="1">
      <c r="A78" s="84">
        <v>75</v>
      </c>
      <c r="B78" s="85">
        <v>120</v>
      </c>
      <c r="C78" s="85" t="s">
        <v>38</v>
      </c>
      <c r="D78" s="227">
        <v>102.14350000000002</v>
      </c>
      <c r="G78" s="62"/>
      <c r="H78" s="62"/>
      <c r="I78" s="62"/>
    </row>
    <row r="79" spans="1:9" ht="14.25" customHeight="1">
      <c r="A79" s="82">
        <v>76</v>
      </c>
      <c r="B79" s="85">
        <v>121</v>
      </c>
      <c r="C79" s="85" t="s">
        <v>38</v>
      </c>
      <c r="D79" s="227">
        <v>28.363299999999924</v>
      </c>
      <c r="G79" s="62"/>
      <c r="H79" s="62"/>
      <c r="I79" s="62"/>
    </row>
    <row r="80" spans="1:9" ht="14.25" customHeight="1">
      <c r="A80" s="82">
        <v>77</v>
      </c>
      <c r="B80" s="85">
        <v>123</v>
      </c>
      <c r="C80" s="85" t="s">
        <v>38</v>
      </c>
      <c r="D80" s="227">
        <v>1.5945250000000328</v>
      </c>
      <c r="G80" s="62"/>
      <c r="H80" s="62"/>
      <c r="I80" s="62"/>
    </row>
    <row r="81" spans="1:9" ht="14.25" customHeight="1">
      <c r="A81" s="84">
        <v>78</v>
      </c>
      <c r="B81" s="85">
        <v>124</v>
      </c>
      <c r="C81" s="85" t="s">
        <v>38</v>
      </c>
      <c r="D81" s="227">
        <v>85.513529999999946</v>
      </c>
      <c r="G81" s="62"/>
      <c r="H81" s="62"/>
      <c r="I81" s="62"/>
    </row>
    <row r="82" spans="1:9" ht="14.25" customHeight="1">
      <c r="A82" s="84">
        <v>79</v>
      </c>
      <c r="B82" s="85">
        <v>125</v>
      </c>
      <c r="C82" s="85" t="s">
        <v>38</v>
      </c>
      <c r="D82" s="227">
        <v>-62</v>
      </c>
      <c r="G82" s="62"/>
      <c r="H82" s="62"/>
      <c r="I82" s="62"/>
    </row>
    <row r="83" spans="1:9" ht="14.25" customHeight="1">
      <c r="A83" s="82">
        <v>80</v>
      </c>
      <c r="B83" s="85">
        <v>126</v>
      </c>
      <c r="C83" s="85" t="s">
        <v>38</v>
      </c>
      <c r="D83" s="227">
        <v>192.01734999999999</v>
      </c>
      <c r="G83" s="62"/>
      <c r="H83" s="62"/>
      <c r="I83" s="62"/>
    </row>
    <row r="84" spans="1:9" ht="14.25" customHeight="1">
      <c r="A84" s="82">
        <v>81</v>
      </c>
      <c r="B84" s="85">
        <v>127</v>
      </c>
      <c r="C84" s="85" t="s">
        <v>38</v>
      </c>
      <c r="D84" s="227">
        <v>457</v>
      </c>
      <c r="G84" s="62"/>
      <c r="H84" s="62"/>
      <c r="I84" s="62"/>
    </row>
    <row r="85" spans="1:9" ht="14.25" customHeight="1">
      <c r="A85" s="84">
        <v>82</v>
      </c>
      <c r="B85" s="85">
        <v>129</v>
      </c>
      <c r="C85" s="85" t="s">
        <v>38</v>
      </c>
      <c r="D85" s="227">
        <v>-510.22412500000007</v>
      </c>
      <c r="G85" s="62"/>
      <c r="H85" s="62"/>
      <c r="I85" s="62"/>
    </row>
    <row r="86" spans="1:9" ht="14.25" customHeight="1">
      <c r="A86" s="84">
        <v>83</v>
      </c>
      <c r="B86" s="85">
        <v>132</v>
      </c>
      <c r="C86" s="85" t="s">
        <v>38</v>
      </c>
      <c r="D86" s="227">
        <v>-554.78904</v>
      </c>
      <c r="G86" s="62"/>
      <c r="H86" s="62"/>
      <c r="I86" s="62"/>
    </row>
    <row r="87" spans="1:9" ht="14.25" customHeight="1">
      <c r="A87" s="82">
        <v>84</v>
      </c>
      <c r="B87" s="85">
        <v>134</v>
      </c>
      <c r="C87" s="85" t="s">
        <v>38</v>
      </c>
      <c r="D87" s="227">
        <v>124.6</v>
      </c>
      <c r="G87" s="62"/>
      <c r="H87" s="62"/>
      <c r="I87" s="62"/>
    </row>
    <row r="88" spans="1:9" ht="14.25" customHeight="1">
      <c r="A88" s="82">
        <v>85</v>
      </c>
      <c r="B88" s="85">
        <v>138</v>
      </c>
      <c r="C88" s="85" t="s">
        <v>38</v>
      </c>
      <c r="D88" s="227">
        <v>240</v>
      </c>
      <c r="G88" s="62"/>
      <c r="H88" s="62"/>
      <c r="I88" s="62"/>
    </row>
    <row r="89" spans="1:9" ht="14.25" customHeight="1">
      <c r="A89" s="82">
        <v>86</v>
      </c>
      <c r="B89" s="85">
        <v>139</v>
      </c>
      <c r="C89" s="85" t="s">
        <v>38</v>
      </c>
      <c r="D89" s="227">
        <v>17.5</v>
      </c>
      <c r="G89" s="62"/>
      <c r="H89" s="62"/>
      <c r="I89" s="62"/>
    </row>
    <row r="90" spans="1:9" ht="14.25" customHeight="1">
      <c r="A90" s="84">
        <v>87</v>
      </c>
      <c r="B90" s="85">
        <v>140</v>
      </c>
      <c r="C90" s="85" t="s">
        <v>38</v>
      </c>
      <c r="D90" s="227">
        <v>-449.46000000000004</v>
      </c>
      <c r="G90" s="62"/>
      <c r="H90" s="62"/>
      <c r="I90" s="62"/>
    </row>
    <row r="91" spans="1:9" ht="14.25" customHeight="1">
      <c r="A91" s="84">
        <v>88</v>
      </c>
      <c r="B91" s="85">
        <v>141</v>
      </c>
      <c r="C91" s="85" t="s">
        <v>38</v>
      </c>
      <c r="D91" s="227">
        <v>233.43228750000003</v>
      </c>
      <c r="G91" s="62"/>
      <c r="H91" s="62"/>
      <c r="I91" s="62"/>
    </row>
    <row r="92" spans="1:9" ht="14.25" customHeight="1">
      <c r="A92" s="82">
        <v>89</v>
      </c>
      <c r="B92" s="85">
        <v>144</v>
      </c>
      <c r="C92" s="85" t="s">
        <v>38</v>
      </c>
      <c r="D92" s="227">
        <v>270</v>
      </c>
      <c r="G92" s="62"/>
      <c r="H92" s="62"/>
      <c r="I92" s="62"/>
    </row>
    <row r="93" spans="1:9" ht="14.25" customHeight="1">
      <c r="A93" s="82">
        <v>90</v>
      </c>
      <c r="B93" s="85">
        <v>145</v>
      </c>
      <c r="C93" s="85" t="s">
        <v>38</v>
      </c>
      <c r="D93" s="227">
        <v>-63.39</v>
      </c>
      <c r="G93" s="62"/>
      <c r="H93" s="62"/>
      <c r="I93" s="62"/>
    </row>
    <row r="94" spans="1:9" ht="14.25" customHeight="1">
      <c r="A94" s="84">
        <v>91</v>
      </c>
      <c r="B94" s="85">
        <v>149</v>
      </c>
      <c r="C94" s="85" t="s">
        <v>38</v>
      </c>
      <c r="D94" s="227">
        <v>-57.686200000000014</v>
      </c>
      <c r="G94" s="62"/>
      <c r="H94" s="62"/>
      <c r="I94" s="62"/>
    </row>
    <row r="95" spans="1:9" ht="14.25" customHeight="1">
      <c r="A95" s="84">
        <v>92</v>
      </c>
      <c r="B95" s="85">
        <v>150</v>
      </c>
      <c r="C95" s="85" t="s">
        <v>38</v>
      </c>
      <c r="D95" s="227">
        <v>244</v>
      </c>
      <c r="G95" s="62"/>
      <c r="H95" s="62"/>
      <c r="I95" s="62"/>
    </row>
    <row r="96" spans="1:9" ht="14.25" customHeight="1">
      <c r="A96" s="82">
        <v>93</v>
      </c>
      <c r="B96" s="85">
        <v>151</v>
      </c>
      <c r="C96" s="85" t="s">
        <v>38</v>
      </c>
      <c r="D96" s="227">
        <v>-25.791000000000025</v>
      </c>
      <c r="G96" s="62"/>
      <c r="H96" s="62"/>
      <c r="I96" s="62"/>
    </row>
    <row r="97" spans="1:9" ht="14.25" customHeight="1">
      <c r="A97" s="82">
        <v>94</v>
      </c>
      <c r="B97" s="85">
        <v>153</v>
      </c>
      <c r="C97" s="85" t="s">
        <v>38</v>
      </c>
      <c r="D97" s="227">
        <v>-491.90809999999999</v>
      </c>
      <c r="G97" s="62"/>
      <c r="H97" s="62"/>
      <c r="I97" s="62"/>
    </row>
    <row r="98" spans="1:9" ht="14.25" customHeight="1">
      <c r="A98" s="84">
        <v>95</v>
      </c>
      <c r="B98" s="85">
        <v>154</v>
      </c>
      <c r="C98" s="85" t="s">
        <v>38</v>
      </c>
      <c r="D98" s="227">
        <v>174.710915</v>
      </c>
      <c r="G98" s="62"/>
      <c r="H98" s="62"/>
      <c r="I98" s="62"/>
    </row>
    <row r="99" spans="1:9" ht="14.25" customHeight="1">
      <c r="A99" s="84">
        <v>96</v>
      </c>
      <c r="B99" s="85">
        <v>155</v>
      </c>
      <c r="C99" s="85" t="s">
        <v>38</v>
      </c>
      <c r="D99" s="227">
        <v>-644.65400000000022</v>
      </c>
      <c r="G99" s="62"/>
      <c r="H99" s="62"/>
      <c r="I99" s="62"/>
    </row>
    <row r="100" spans="1:9" ht="14.25" customHeight="1">
      <c r="A100" s="82">
        <v>97</v>
      </c>
      <c r="B100" s="85">
        <v>157</v>
      </c>
      <c r="C100" s="85" t="s">
        <v>38</v>
      </c>
      <c r="D100" s="227">
        <v>-70.677999999999997</v>
      </c>
      <c r="G100" s="62"/>
      <c r="H100" s="62"/>
      <c r="I100" s="62"/>
    </row>
    <row r="101" spans="1:9" ht="14.25" customHeight="1">
      <c r="A101" s="82">
        <v>98</v>
      </c>
      <c r="B101" s="85">
        <v>158</v>
      </c>
      <c r="C101" s="85" t="s">
        <v>38</v>
      </c>
      <c r="D101" s="227">
        <v>120.94213558000007</v>
      </c>
      <c r="G101" s="62"/>
      <c r="H101" s="62"/>
      <c r="I101" s="62"/>
    </row>
    <row r="102" spans="1:9" ht="14.25" customHeight="1">
      <c r="A102" s="84">
        <v>99</v>
      </c>
      <c r="B102" s="85">
        <v>164</v>
      </c>
      <c r="C102" s="85" t="s">
        <v>38</v>
      </c>
      <c r="D102" s="227">
        <v>-32.915324999999996</v>
      </c>
      <c r="G102" s="62"/>
      <c r="H102" s="62"/>
      <c r="I102" s="62"/>
    </row>
    <row r="103" spans="1:9" ht="14.25" customHeight="1">
      <c r="A103" s="84">
        <v>100</v>
      </c>
      <c r="B103" s="85">
        <v>165</v>
      </c>
      <c r="C103" s="85" t="s">
        <v>38</v>
      </c>
      <c r="D103" s="227">
        <v>-362.67240000000015</v>
      </c>
      <c r="G103" s="62"/>
      <c r="H103" s="62"/>
      <c r="I103" s="62"/>
    </row>
    <row r="104" spans="1:9" ht="14.25" customHeight="1">
      <c r="A104" s="82">
        <v>101</v>
      </c>
      <c r="B104" s="85">
        <v>167</v>
      </c>
      <c r="C104" s="85" t="s">
        <v>38</v>
      </c>
      <c r="D104" s="227">
        <v>-72.670400000000086</v>
      </c>
      <c r="G104" s="62"/>
      <c r="H104" s="62"/>
      <c r="I104" s="62"/>
    </row>
    <row r="105" spans="1:9" ht="14.25" customHeight="1">
      <c r="A105" s="82">
        <v>102</v>
      </c>
      <c r="B105" s="85">
        <v>168</v>
      </c>
      <c r="C105" s="85" t="s">
        <v>38</v>
      </c>
      <c r="D105" s="227">
        <v>-22.312999999999988</v>
      </c>
      <c r="G105" s="62"/>
      <c r="H105" s="62"/>
      <c r="I105" s="62"/>
    </row>
    <row r="106" spans="1:9" ht="14.25" customHeight="1">
      <c r="A106" s="84">
        <v>103</v>
      </c>
      <c r="B106" s="85">
        <v>170</v>
      </c>
      <c r="C106" s="85" t="s">
        <v>38</v>
      </c>
      <c r="D106" s="227">
        <v>-127.50320000000001</v>
      </c>
      <c r="G106" s="62"/>
      <c r="H106" s="62"/>
      <c r="I106" s="62"/>
    </row>
    <row r="107" spans="1:9" ht="14.25" customHeight="1">
      <c r="A107" s="84">
        <v>104</v>
      </c>
      <c r="B107" s="85">
        <v>172</v>
      </c>
      <c r="C107" s="85" t="s">
        <v>38</v>
      </c>
      <c r="D107" s="227">
        <v>0.83220000000000027</v>
      </c>
      <c r="G107" s="62"/>
      <c r="H107" s="62"/>
      <c r="I107" s="62"/>
    </row>
    <row r="108" spans="1:9" ht="14.25" customHeight="1">
      <c r="A108" s="82">
        <v>105</v>
      </c>
      <c r="B108" s="85">
        <v>173</v>
      </c>
      <c r="C108" s="85" t="s">
        <v>38</v>
      </c>
      <c r="D108" s="227">
        <v>16.106999999999999</v>
      </c>
      <c r="G108" s="62"/>
      <c r="H108" s="62"/>
      <c r="I108" s="62"/>
    </row>
    <row r="109" spans="1:9" ht="14.25" customHeight="1">
      <c r="A109" s="82">
        <v>106</v>
      </c>
      <c r="B109" s="85">
        <v>175</v>
      </c>
      <c r="C109" s="85" t="s">
        <v>38</v>
      </c>
      <c r="D109" s="227">
        <v>62.214234999999974</v>
      </c>
      <c r="G109" s="62"/>
      <c r="H109" s="62"/>
      <c r="I109" s="62"/>
    </row>
    <row r="110" spans="1:9" ht="14.25" customHeight="1">
      <c r="A110" s="84">
        <v>107</v>
      </c>
      <c r="B110" s="85">
        <v>176</v>
      </c>
      <c r="C110" s="85" t="s">
        <v>38</v>
      </c>
      <c r="D110" s="227">
        <v>-8.4619100000000174</v>
      </c>
      <c r="G110" s="62"/>
      <c r="H110" s="62"/>
      <c r="I110" s="62"/>
    </row>
    <row r="111" spans="1:9" ht="14.25" customHeight="1">
      <c r="A111" s="84">
        <v>108</v>
      </c>
      <c r="B111" s="85">
        <v>179</v>
      </c>
      <c r="C111" s="85" t="s">
        <v>38</v>
      </c>
      <c r="D111" s="227">
        <v>40.396029999999996</v>
      </c>
      <c r="G111" s="62"/>
      <c r="H111" s="62"/>
      <c r="I111" s="62"/>
    </row>
    <row r="112" spans="1:9" ht="14.25" customHeight="1">
      <c r="A112" s="82">
        <v>109</v>
      </c>
      <c r="B112" s="85">
        <v>180</v>
      </c>
      <c r="C112" s="85" t="s">
        <v>38</v>
      </c>
      <c r="D112" s="227">
        <v>-426.41387500000008</v>
      </c>
      <c r="G112" s="62"/>
      <c r="H112" s="62"/>
      <c r="I112" s="62"/>
    </row>
    <row r="113" spans="1:9" ht="14.25" customHeight="1">
      <c r="A113" s="82">
        <v>110</v>
      </c>
      <c r="B113" s="85">
        <v>181</v>
      </c>
      <c r="C113" s="85" t="s">
        <v>38</v>
      </c>
      <c r="D113" s="227">
        <v>-84.502079999999978</v>
      </c>
      <c r="G113" s="62"/>
      <c r="H113" s="62"/>
      <c r="I113" s="62"/>
    </row>
    <row r="114" spans="1:9" ht="14.25" customHeight="1">
      <c r="A114" s="84">
        <v>111</v>
      </c>
      <c r="B114" s="85">
        <v>182</v>
      </c>
      <c r="C114" s="85" t="s">
        <v>38</v>
      </c>
      <c r="D114" s="227">
        <v>-203.08690000000001</v>
      </c>
      <c r="G114" s="62"/>
      <c r="H114" s="62"/>
      <c r="I114" s="62"/>
    </row>
    <row r="115" spans="1:9" ht="14.25" customHeight="1">
      <c r="A115" s="84">
        <v>112</v>
      </c>
      <c r="B115" s="85">
        <v>183</v>
      </c>
      <c r="C115" s="85" t="s">
        <v>38</v>
      </c>
      <c r="D115" s="227">
        <v>-295.59000000000003</v>
      </c>
      <c r="G115" s="62"/>
      <c r="H115" s="62"/>
      <c r="I115" s="62"/>
    </row>
    <row r="116" spans="1:9" ht="14.25" customHeight="1">
      <c r="A116" s="82">
        <v>113</v>
      </c>
      <c r="B116" s="85">
        <v>187</v>
      </c>
      <c r="C116" s="85" t="s">
        <v>38</v>
      </c>
      <c r="D116" s="227">
        <v>36.58159999999998</v>
      </c>
      <c r="G116" s="62"/>
      <c r="H116" s="62"/>
      <c r="I116" s="62"/>
    </row>
    <row r="117" spans="1:9" ht="14.25" customHeight="1">
      <c r="A117" s="82">
        <v>114</v>
      </c>
      <c r="B117" s="85">
        <v>191</v>
      </c>
      <c r="C117" s="85" t="s">
        <v>38</v>
      </c>
      <c r="D117" s="227">
        <v>59.209289999999953</v>
      </c>
      <c r="G117" s="62"/>
      <c r="H117" s="62"/>
      <c r="I117" s="62"/>
    </row>
    <row r="118" spans="1:9" ht="14.25" customHeight="1">
      <c r="A118" s="82">
        <v>115</v>
      </c>
      <c r="B118" s="85">
        <v>192</v>
      </c>
      <c r="C118" s="85" t="s">
        <v>38</v>
      </c>
      <c r="D118" s="227">
        <v>-93.050000000000011</v>
      </c>
      <c r="G118" s="62"/>
      <c r="H118" s="62"/>
      <c r="I118" s="62"/>
    </row>
    <row r="119" spans="1:9" ht="14.25" customHeight="1">
      <c r="A119" s="84">
        <v>116</v>
      </c>
      <c r="B119" s="85">
        <v>194</v>
      </c>
      <c r="C119" s="85" t="s">
        <v>38</v>
      </c>
      <c r="D119" s="227">
        <v>-297.34365000000003</v>
      </c>
      <c r="G119" s="62"/>
      <c r="H119" s="62"/>
      <c r="I119" s="62"/>
    </row>
    <row r="120" spans="1:9" ht="14.25" customHeight="1">
      <c r="A120" s="84">
        <v>117</v>
      </c>
      <c r="B120" s="85">
        <v>195</v>
      </c>
      <c r="C120" s="85" t="s">
        <v>38</v>
      </c>
      <c r="D120" s="227">
        <v>82</v>
      </c>
      <c r="G120" s="62"/>
      <c r="H120" s="62"/>
      <c r="I120" s="62"/>
    </row>
    <row r="121" spans="1:9" ht="14.25" customHeight="1">
      <c r="A121" s="82">
        <v>118</v>
      </c>
      <c r="B121" s="85">
        <v>197</v>
      </c>
      <c r="C121" s="85" t="s">
        <v>38</v>
      </c>
      <c r="D121" s="227">
        <v>7.3764600000000087</v>
      </c>
      <c r="G121" s="62"/>
      <c r="H121" s="62"/>
      <c r="I121" s="62"/>
    </row>
    <row r="122" spans="1:9" ht="14.25" customHeight="1">
      <c r="A122" s="82">
        <v>119</v>
      </c>
      <c r="B122" s="85">
        <v>198</v>
      </c>
      <c r="C122" s="85" t="s">
        <v>38</v>
      </c>
      <c r="D122" s="227">
        <v>300</v>
      </c>
      <c r="G122" s="62"/>
      <c r="H122" s="62"/>
      <c r="I122" s="62"/>
    </row>
    <row r="123" spans="1:9" ht="14.25" customHeight="1">
      <c r="A123" s="84">
        <v>120</v>
      </c>
      <c r="B123" s="85">
        <v>199</v>
      </c>
      <c r="C123" s="85" t="s">
        <v>38</v>
      </c>
      <c r="D123" s="227">
        <v>121.60000000000002</v>
      </c>
      <c r="G123" s="62"/>
      <c r="H123" s="62"/>
      <c r="I123" s="62"/>
    </row>
    <row r="124" spans="1:9" ht="14.25" customHeight="1">
      <c r="A124" s="84">
        <v>121</v>
      </c>
      <c r="B124" s="85">
        <v>200</v>
      </c>
      <c r="C124" s="85" t="s">
        <v>38</v>
      </c>
      <c r="D124" s="227">
        <v>132.91000000000003</v>
      </c>
      <c r="G124" s="62"/>
      <c r="H124" s="62"/>
      <c r="I124" s="62"/>
    </row>
    <row r="125" spans="1:9" ht="14.25" customHeight="1">
      <c r="A125" s="82">
        <v>122</v>
      </c>
      <c r="B125" s="85">
        <v>202</v>
      </c>
      <c r="C125" s="85" t="s">
        <v>38</v>
      </c>
      <c r="D125" s="227">
        <v>55.761967000000027</v>
      </c>
      <c r="G125" s="62"/>
      <c r="H125" s="62"/>
      <c r="I125" s="62"/>
    </row>
    <row r="126" spans="1:9" ht="14.25" customHeight="1">
      <c r="A126" s="82">
        <v>123</v>
      </c>
      <c r="B126" s="85">
        <v>204</v>
      </c>
      <c r="C126" s="85" t="s">
        <v>38</v>
      </c>
      <c r="D126" s="227">
        <v>92.524740000000008</v>
      </c>
      <c r="G126" s="62"/>
      <c r="H126" s="62"/>
      <c r="I126" s="62"/>
    </row>
    <row r="127" spans="1:9" ht="14.25" customHeight="1">
      <c r="A127" s="84">
        <v>124</v>
      </c>
      <c r="B127" s="85">
        <v>208</v>
      </c>
      <c r="C127" s="85" t="s">
        <v>38</v>
      </c>
      <c r="D127" s="227">
        <v>-551.48</v>
      </c>
      <c r="G127" s="62"/>
      <c r="H127" s="62"/>
      <c r="I127" s="62"/>
    </row>
    <row r="128" spans="1:9" ht="14.25" customHeight="1">
      <c r="A128" s="84">
        <v>125</v>
      </c>
      <c r="B128" s="85">
        <v>209</v>
      </c>
      <c r="C128" s="85" t="s">
        <v>38</v>
      </c>
      <c r="D128" s="227">
        <v>530</v>
      </c>
      <c r="G128" s="62"/>
      <c r="H128" s="62"/>
      <c r="I128" s="62"/>
    </row>
    <row r="129" spans="1:9" ht="14.25" customHeight="1">
      <c r="A129" s="82">
        <v>126</v>
      </c>
      <c r="B129" s="85">
        <v>212</v>
      </c>
      <c r="C129" s="85" t="s">
        <v>38</v>
      </c>
      <c r="D129" s="227">
        <v>-427.6</v>
      </c>
      <c r="G129" s="62"/>
      <c r="H129" s="62"/>
      <c r="I129" s="62"/>
    </row>
    <row r="130" spans="1:9" ht="14.25" customHeight="1">
      <c r="A130" s="82">
        <v>127</v>
      </c>
      <c r="B130" s="85">
        <v>213</v>
      </c>
      <c r="C130" s="85" t="s">
        <v>38</v>
      </c>
      <c r="D130" s="227">
        <v>115.60000000000002</v>
      </c>
      <c r="G130" s="62"/>
      <c r="H130" s="62"/>
      <c r="I130" s="62"/>
    </row>
    <row r="131" spans="1:9" ht="14.25" customHeight="1">
      <c r="A131" s="84">
        <v>128</v>
      </c>
      <c r="B131" s="85">
        <v>214</v>
      </c>
      <c r="C131" s="85" t="s">
        <v>38</v>
      </c>
      <c r="D131" s="227">
        <v>173.16499999999999</v>
      </c>
      <c r="G131" s="62"/>
      <c r="H131" s="62"/>
      <c r="I131" s="62"/>
    </row>
    <row r="132" spans="1:9" ht="14.25" customHeight="1">
      <c r="A132" s="84">
        <v>129</v>
      </c>
      <c r="B132" s="85">
        <v>215</v>
      </c>
      <c r="C132" s="85" t="s">
        <v>38</v>
      </c>
      <c r="D132" s="227">
        <v>-178.94</v>
      </c>
      <c r="G132" s="62"/>
      <c r="H132" s="62"/>
      <c r="I132" s="62"/>
    </row>
    <row r="133" spans="1:9" ht="14.25" customHeight="1">
      <c r="A133" s="82">
        <v>130</v>
      </c>
      <c r="B133" s="85">
        <v>216</v>
      </c>
      <c r="C133" s="85" t="s">
        <v>38</v>
      </c>
      <c r="D133" s="227">
        <v>34.237120000000004</v>
      </c>
      <c r="G133" s="62"/>
      <c r="H133" s="62"/>
      <c r="I133" s="62"/>
    </row>
    <row r="134" spans="1:9" ht="14.25" customHeight="1">
      <c r="A134" s="82">
        <v>131</v>
      </c>
      <c r="B134" s="85">
        <v>219</v>
      </c>
      <c r="C134" s="85" t="s">
        <v>38</v>
      </c>
      <c r="D134" s="227">
        <v>-129.53660000000002</v>
      </c>
      <c r="G134" s="62"/>
      <c r="H134" s="62"/>
      <c r="I134" s="62"/>
    </row>
    <row r="135" spans="1:9" ht="14.25" customHeight="1">
      <c r="A135" s="84">
        <v>132</v>
      </c>
      <c r="B135" s="85">
        <v>221</v>
      </c>
      <c r="C135" s="85" t="s">
        <v>38</v>
      </c>
      <c r="D135" s="227">
        <v>25.817530000000005</v>
      </c>
      <c r="G135" s="62"/>
      <c r="H135" s="62"/>
      <c r="I135" s="62"/>
    </row>
    <row r="136" spans="1:9" ht="14.25" customHeight="1">
      <c r="A136" s="84">
        <v>133</v>
      </c>
      <c r="B136" s="85">
        <v>224</v>
      </c>
      <c r="C136" s="85" t="s">
        <v>38</v>
      </c>
      <c r="D136" s="227">
        <v>135.21777499999999</v>
      </c>
      <c r="G136" s="62"/>
      <c r="H136" s="62"/>
      <c r="I136" s="62"/>
    </row>
    <row r="137" spans="1:9" ht="14.25" customHeight="1">
      <c r="A137" s="82">
        <v>134</v>
      </c>
      <c r="B137" s="85">
        <v>225</v>
      </c>
      <c r="C137" s="85" t="s">
        <v>38</v>
      </c>
      <c r="D137" s="227">
        <v>149.8707</v>
      </c>
      <c r="G137" s="62"/>
      <c r="H137" s="62"/>
      <c r="I137" s="62"/>
    </row>
    <row r="138" spans="1:9" ht="14.25" customHeight="1">
      <c r="A138" s="82">
        <v>135</v>
      </c>
      <c r="B138" s="85">
        <v>226</v>
      </c>
      <c r="C138" s="85" t="s">
        <v>38</v>
      </c>
      <c r="D138" s="227">
        <v>29.159059999999954</v>
      </c>
      <c r="G138" s="62"/>
      <c r="H138" s="62"/>
      <c r="I138" s="62"/>
    </row>
    <row r="139" spans="1:9" ht="14.25" customHeight="1">
      <c r="A139" s="84">
        <v>136</v>
      </c>
      <c r="B139" s="85">
        <v>227</v>
      </c>
      <c r="C139" s="85" t="s">
        <v>38</v>
      </c>
      <c r="D139" s="227">
        <v>45.550000000000011</v>
      </c>
      <c r="G139" s="62"/>
      <c r="H139" s="62"/>
      <c r="I139" s="62"/>
    </row>
    <row r="140" spans="1:9" ht="14.25" customHeight="1">
      <c r="A140" s="84">
        <v>137</v>
      </c>
      <c r="B140" s="85">
        <v>228</v>
      </c>
      <c r="C140" s="85" t="s">
        <v>38</v>
      </c>
      <c r="D140" s="227">
        <v>-100.710025</v>
      </c>
      <c r="G140" s="62"/>
      <c r="H140" s="62"/>
      <c r="I140" s="62"/>
    </row>
    <row r="141" spans="1:9" ht="14.25" customHeight="1">
      <c r="A141" s="82">
        <v>138</v>
      </c>
      <c r="B141" s="85">
        <v>229</v>
      </c>
      <c r="C141" s="85" t="s">
        <v>38</v>
      </c>
      <c r="D141" s="227">
        <v>222.01785000000001</v>
      </c>
      <c r="G141" s="62"/>
      <c r="H141" s="62"/>
      <c r="I141" s="62"/>
    </row>
    <row r="142" spans="1:9" ht="14.25" customHeight="1">
      <c r="A142" s="82">
        <v>139</v>
      </c>
      <c r="B142" s="85">
        <v>230</v>
      </c>
      <c r="C142" s="85" t="s">
        <v>38</v>
      </c>
      <c r="D142" s="227">
        <v>-69</v>
      </c>
      <c r="G142" s="62"/>
      <c r="H142" s="62"/>
      <c r="I142" s="62"/>
    </row>
    <row r="143" spans="1:9" ht="14.25" customHeight="1">
      <c r="A143" s="84">
        <v>140</v>
      </c>
      <c r="B143" s="85">
        <v>233</v>
      </c>
      <c r="C143" s="85" t="s">
        <v>38</v>
      </c>
      <c r="D143" s="227">
        <v>77.693859999999972</v>
      </c>
      <c r="G143" s="62"/>
      <c r="H143" s="62"/>
      <c r="I143" s="62"/>
    </row>
    <row r="144" spans="1:9" ht="14.25" customHeight="1">
      <c r="A144" s="84">
        <v>141</v>
      </c>
      <c r="B144" s="85">
        <v>234</v>
      </c>
      <c r="C144" s="85" t="s">
        <v>38</v>
      </c>
      <c r="D144" s="227">
        <v>108.28049999999999</v>
      </c>
      <c r="G144" s="62"/>
      <c r="H144" s="62"/>
      <c r="I144" s="62"/>
    </row>
    <row r="145" spans="1:9" ht="14.25" customHeight="1">
      <c r="A145" s="82">
        <v>142</v>
      </c>
      <c r="B145" s="85">
        <v>235</v>
      </c>
      <c r="C145" s="85" t="s">
        <v>38</v>
      </c>
      <c r="D145" s="227">
        <v>87.654334999999946</v>
      </c>
      <c r="G145" s="62"/>
      <c r="H145" s="62"/>
      <c r="I145" s="62"/>
    </row>
    <row r="146" spans="1:9" ht="14.25" customHeight="1">
      <c r="A146" s="82">
        <v>143</v>
      </c>
      <c r="B146" s="85">
        <v>239</v>
      </c>
      <c r="C146" s="85" t="s">
        <v>38</v>
      </c>
      <c r="D146" s="227">
        <v>47.651879999999949</v>
      </c>
      <c r="G146" s="62"/>
      <c r="H146" s="62"/>
      <c r="I146" s="62"/>
    </row>
    <row r="147" spans="1:9" ht="14.25" customHeight="1">
      <c r="A147" s="84">
        <v>144</v>
      </c>
      <c r="B147" s="85">
        <v>244</v>
      </c>
      <c r="C147" s="85" t="s">
        <v>38</v>
      </c>
      <c r="D147" s="227">
        <v>31.884539999999987</v>
      </c>
      <c r="G147" s="62"/>
      <c r="H147" s="62"/>
      <c r="I147" s="62"/>
    </row>
    <row r="148" spans="1:9" ht="14.25" customHeight="1">
      <c r="A148" s="84">
        <v>145</v>
      </c>
      <c r="B148" s="85">
        <v>245</v>
      </c>
      <c r="C148" s="85" t="s">
        <v>38</v>
      </c>
      <c r="D148" s="227">
        <v>-218.33</v>
      </c>
      <c r="G148" s="62"/>
      <c r="H148" s="62"/>
      <c r="I148" s="62"/>
    </row>
    <row r="149" spans="1:9" ht="14.25" customHeight="1">
      <c r="A149" s="82">
        <v>146</v>
      </c>
      <c r="B149" s="85">
        <v>246</v>
      </c>
      <c r="C149" s="85" t="s">
        <v>38</v>
      </c>
      <c r="D149" s="227">
        <v>373.67284500000005</v>
      </c>
      <c r="G149" s="62"/>
      <c r="H149" s="62"/>
      <c r="I149" s="62"/>
    </row>
    <row r="150" spans="1:9" ht="14.25" customHeight="1">
      <c r="A150" s="82">
        <v>147</v>
      </c>
      <c r="B150" s="85">
        <v>247</v>
      </c>
      <c r="C150" s="85" t="s">
        <v>38</v>
      </c>
      <c r="D150" s="227">
        <v>294.59312</v>
      </c>
      <c r="G150" s="62"/>
      <c r="H150" s="62"/>
      <c r="I150" s="62"/>
    </row>
    <row r="151" spans="1:9" ht="14.25" customHeight="1">
      <c r="A151" s="84">
        <v>148</v>
      </c>
      <c r="B151" s="85">
        <v>248</v>
      </c>
      <c r="C151" s="85" t="s">
        <v>38</v>
      </c>
      <c r="D151" s="227">
        <v>346.68600000000004</v>
      </c>
      <c r="G151" s="62"/>
      <c r="H151" s="62"/>
      <c r="I151" s="62"/>
    </row>
    <row r="152" spans="1:9" ht="14.25" customHeight="1">
      <c r="A152" s="84">
        <v>149</v>
      </c>
      <c r="B152" s="85">
        <v>249</v>
      </c>
      <c r="C152" s="85" t="s">
        <v>38</v>
      </c>
      <c r="D152" s="227">
        <v>199.1350525</v>
      </c>
      <c r="G152" s="62"/>
      <c r="H152" s="62"/>
      <c r="I152" s="62"/>
    </row>
    <row r="153" spans="1:9" ht="14.25" customHeight="1">
      <c r="A153" s="82">
        <v>150</v>
      </c>
      <c r="B153" s="85">
        <v>251</v>
      </c>
      <c r="C153" s="85" t="s">
        <v>38</v>
      </c>
      <c r="D153" s="227">
        <v>-47.125</v>
      </c>
      <c r="G153" s="62"/>
      <c r="H153" s="62"/>
      <c r="I153" s="62"/>
    </row>
    <row r="154" spans="1:9" ht="14.25" customHeight="1">
      <c r="A154" s="82">
        <v>151</v>
      </c>
      <c r="B154" s="85">
        <v>252</v>
      </c>
      <c r="C154" s="85" t="s">
        <v>38</v>
      </c>
      <c r="D154" s="227">
        <v>-161.08630000000005</v>
      </c>
      <c r="G154" s="62"/>
      <c r="H154" s="62"/>
      <c r="I154" s="62"/>
    </row>
    <row r="155" spans="1:9" ht="14.25" customHeight="1">
      <c r="A155" s="82">
        <v>152</v>
      </c>
      <c r="B155" s="85">
        <v>253</v>
      </c>
      <c r="C155" s="85" t="s">
        <v>38</v>
      </c>
      <c r="D155" s="227">
        <v>41</v>
      </c>
      <c r="G155" s="62"/>
      <c r="H155" s="62"/>
      <c r="I155" s="62"/>
    </row>
    <row r="156" spans="1:9" ht="14.25" customHeight="1">
      <c r="A156" s="84">
        <v>153</v>
      </c>
      <c r="B156" s="85">
        <v>255</v>
      </c>
      <c r="C156" s="85" t="s">
        <v>38</v>
      </c>
      <c r="D156" s="227">
        <v>-132.65</v>
      </c>
      <c r="G156" s="62"/>
      <c r="H156" s="62"/>
      <c r="I156" s="62"/>
    </row>
    <row r="157" spans="1:9" ht="14.25" customHeight="1">
      <c r="A157" s="84">
        <v>154</v>
      </c>
      <c r="B157" s="85">
        <v>256</v>
      </c>
      <c r="C157" s="85" t="s">
        <v>38</v>
      </c>
      <c r="D157" s="227">
        <v>-827.76</v>
      </c>
      <c r="G157" s="62"/>
      <c r="H157" s="62"/>
      <c r="I157" s="62"/>
    </row>
    <row r="158" spans="1:9" ht="14.25" customHeight="1">
      <c r="A158" s="82">
        <v>155</v>
      </c>
      <c r="B158" s="85">
        <v>258</v>
      </c>
      <c r="C158" s="85" t="s">
        <v>38</v>
      </c>
      <c r="D158" s="227">
        <v>71.36</v>
      </c>
      <c r="G158" s="62"/>
      <c r="H158" s="62"/>
      <c r="I158" s="62"/>
    </row>
    <row r="159" spans="1:9" ht="14.25" customHeight="1">
      <c r="A159" s="82">
        <v>156</v>
      </c>
      <c r="B159" s="85">
        <v>259</v>
      </c>
      <c r="C159" s="85" t="s">
        <v>38</v>
      </c>
      <c r="D159" s="227">
        <v>82.040219999999977</v>
      </c>
      <c r="G159" s="62"/>
      <c r="H159" s="62"/>
      <c r="I159" s="62"/>
    </row>
    <row r="160" spans="1:9" ht="14.25" customHeight="1">
      <c r="A160" s="84">
        <v>157</v>
      </c>
      <c r="B160" s="85">
        <v>261</v>
      </c>
      <c r="C160" s="85" t="s">
        <v>38</v>
      </c>
      <c r="D160" s="227">
        <v>194.39999999999998</v>
      </c>
      <c r="G160" s="62"/>
      <c r="H160" s="62"/>
      <c r="I160" s="62"/>
    </row>
    <row r="161" spans="1:9" ht="14.25" customHeight="1">
      <c r="A161" s="84">
        <v>158</v>
      </c>
      <c r="B161" s="85">
        <v>271</v>
      </c>
      <c r="C161" s="85" t="s">
        <v>38</v>
      </c>
      <c r="D161" s="227">
        <v>-55.269999999999982</v>
      </c>
      <c r="G161" s="62"/>
      <c r="H161" s="62"/>
      <c r="I161" s="62"/>
    </row>
    <row r="162" spans="1:9" ht="14.25" customHeight="1">
      <c r="A162" s="82">
        <v>159</v>
      </c>
      <c r="B162" s="85">
        <v>272</v>
      </c>
      <c r="C162" s="85" t="s">
        <v>38</v>
      </c>
      <c r="D162" s="227">
        <v>39.173439999999999</v>
      </c>
      <c r="G162" s="62"/>
      <c r="H162" s="62"/>
      <c r="I162" s="62"/>
    </row>
    <row r="163" spans="1:9" ht="14.25" customHeight="1">
      <c r="A163" s="82">
        <v>160</v>
      </c>
      <c r="B163" s="85">
        <v>279</v>
      </c>
      <c r="C163" s="85" t="s">
        <v>38</v>
      </c>
      <c r="D163" s="227">
        <v>139</v>
      </c>
      <c r="G163" s="62"/>
      <c r="H163" s="62"/>
      <c r="I163" s="62"/>
    </row>
    <row r="164" spans="1:9" ht="14.25" customHeight="1">
      <c r="A164" s="84">
        <v>161</v>
      </c>
      <c r="B164" s="85">
        <v>281</v>
      </c>
      <c r="C164" s="85" t="s">
        <v>38</v>
      </c>
      <c r="D164" s="227">
        <v>-174.95000000000005</v>
      </c>
      <c r="G164" s="62"/>
      <c r="H164" s="62"/>
      <c r="I164" s="62"/>
    </row>
    <row r="165" spans="1:9" ht="14.25" customHeight="1">
      <c r="A165" s="84">
        <v>162</v>
      </c>
      <c r="B165" s="85">
        <v>282</v>
      </c>
      <c r="C165" s="85" t="s">
        <v>38</v>
      </c>
      <c r="D165" s="227">
        <v>-431.79999999999995</v>
      </c>
      <c r="G165" s="62"/>
      <c r="H165" s="62"/>
      <c r="I165" s="62"/>
    </row>
    <row r="166" spans="1:9" ht="14.25" customHeight="1">
      <c r="A166" s="82">
        <v>163</v>
      </c>
      <c r="B166" s="85">
        <v>285</v>
      </c>
      <c r="C166" s="85" t="s">
        <v>38</v>
      </c>
      <c r="D166" s="227">
        <v>-61.633564999999976</v>
      </c>
      <c r="G166" s="62"/>
      <c r="H166" s="62"/>
      <c r="I166" s="62"/>
    </row>
    <row r="167" spans="1:9" ht="14.25" customHeight="1">
      <c r="A167" s="82">
        <v>164</v>
      </c>
      <c r="B167" s="85">
        <v>286</v>
      </c>
      <c r="C167" s="85" t="s">
        <v>38</v>
      </c>
      <c r="D167" s="227">
        <v>56.726200000000006</v>
      </c>
      <c r="G167" s="62"/>
      <c r="H167" s="62"/>
      <c r="I167" s="62"/>
    </row>
    <row r="168" spans="1:9" ht="14.25" customHeight="1">
      <c r="A168" s="84">
        <v>165</v>
      </c>
      <c r="B168" s="85">
        <v>287</v>
      </c>
      <c r="C168" s="85" t="s">
        <v>38</v>
      </c>
      <c r="D168" s="227">
        <v>-1018.4530000000001</v>
      </c>
      <c r="G168" s="62"/>
      <c r="H168" s="62"/>
      <c r="I168" s="62"/>
    </row>
    <row r="169" spans="1:9" ht="14.25" customHeight="1">
      <c r="A169" s="84">
        <v>166</v>
      </c>
      <c r="B169" s="85">
        <v>289</v>
      </c>
      <c r="C169" s="85" t="s">
        <v>38</v>
      </c>
      <c r="D169" s="227">
        <v>-85.78</v>
      </c>
      <c r="G169" s="62"/>
      <c r="H169" s="62"/>
      <c r="I169" s="62"/>
    </row>
    <row r="170" spans="1:9" ht="14.25" customHeight="1">
      <c r="A170" s="82">
        <v>167</v>
      </c>
      <c r="B170" s="85">
        <v>290</v>
      </c>
      <c r="C170" s="85" t="s">
        <v>38</v>
      </c>
      <c r="D170" s="227">
        <v>-68.877899999999997</v>
      </c>
      <c r="G170" s="62"/>
      <c r="H170" s="62"/>
      <c r="I170" s="62"/>
    </row>
    <row r="171" spans="1:9" ht="14.25" customHeight="1">
      <c r="A171" s="82">
        <v>168</v>
      </c>
      <c r="B171" s="85">
        <v>291</v>
      </c>
      <c r="C171" s="85" t="s">
        <v>38</v>
      </c>
      <c r="D171" s="227">
        <v>173.90191999999999</v>
      </c>
      <c r="G171" s="62"/>
      <c r="H171" s="62"/>
      <c r="I171" s="62"/>
    </row>
    <row r="172" spans="1:9" ht="14.25" customHeight="1">
      <c r="A172" s="82">
        <v>169</v>
      </c>
      <c r="B172" s="85">
        <v>292</v>
      </c>
      <c r="C172" s="85" t="s">
        <v>38</v>
      </c>
      <c r="D172" s="227">
        <v>-720.88900000000001</v>
      </c>
      <c r="G172" s="62"/>
      <c r="H172" s="62"/>
      <c r="I172" s="62"/>
    </row>
    <row r="173" spans="1:9" ht="14.25" customHeight="1">
      <c r="A173" s="84">
        <v>170</v>
      </c>
      <c r="B173" s="85">
        <v>294</v>
      </c>
      <c r="C173" s="85" t="s">
        <v>38</v>
      </c>
      <c r="D173" s="227">
        <v>-155.54718499999998</v>
      </c>
      <c r="G173" s="62"/>
      <c r="H173" s="62"/>
      <c r="I173" s="62"/>
    </row>
    <row r="174" spans="1:9" ht="14.25" customHeight="1">
      <c r="A174" s="84">
        <v>171</v>
      </c>
      <c r="B174" s="85">
        <v>298</v>
      </c>
      <c r="C174" s="85" t="s">
        <v>38</v>
      </c>
      <c r="D174" s="227">
        <v>298.20999999999998</v>
      </c>
      <c r="G174" s="62"/>
      <c r="H174" s="62"/>
      <c r="I174" s="62"/>
    </row>
    <row r="175" spans="1:9" ht="14.25" customHeight="1">
      <c r="A175" s="82">
        <v>172</v>
      </c>
      <c r="B175" s="85">
        <v>303</v>
      </c>
      <c r="C175" s="85" t="s">
        <v>38</v>
      </c>
      <c r="D175" s="227">
        <v>-589.95000000000005</v>
      </c>
      <c r="G175" s="62"/>
      <c r="H175" s="62"/>
      <c r="I175" s="62"/>
    </row>
    <row r="176" spans="1:9" ht="14.25" customHeight="1">
      <c r="A176" s="82">
        <v>173</v>
      </c>
      <c r="B176" s="85">
        <v>304</v>
      </c>
      <c r="C176" s="85" t="s">
        <v>38</v>
      </c>
      <c r="D176" s="227">
        <v>57.903999999999996</v>
      </c>
      <c r="G176" s="62"/>
      <c r="H176" s="62"/>
      <c r="I176" s="62"/>
    </row>
    <row r="177" spans="1:9" ht="14.25" customHeight="1">
      <c r="A177" s="84">
        <v>174</v>
      </c>
      <c r="B177" s="85">
        <v>306</v>
      </c>
      <c r="C177" s="85" t="s">
        <v>38</v>
      </c>
      <c r="D177" s="227">
        <v>47.600000000000023</v>
      </c>
      <c r="G177" s="62"/>
      <c r="H177" s="62"/>
      <c r="I177" s="62"/>
    </row>
    <row r="178" spans="1:9" ht="14.25" customHeight="1">
      <c r="A178" s="84">
        <v>175</v>
      </c>
      <c r="B178" s="85">
        <v>307</v>
      </c>
      <c r="C178" s="85" t="s">
        <v>38</v>
      </c>
      <c r="D178" s="227">
        <v>173.69386000000003</v>
      </c>
      <c r="G178" s="62"/>
      <c r="H178" s="62"/>
      <c r="I178" s="62"/>
    </row>
    <row r="179" spans="1:9" ht="14.25" customHeight="1">
      <c r="A179" s="82">
        <v>176</v>
      </c>
      <c r="B179" s="85">
        <v>310</v>
      </c>
      <c r="C179" s="85" t="s">
        <v>38</v>
      </c>
      <c r="D179" s="227">
        <v>33.468074999999999</v>
      </c>
      <c r="G179" s="62"/>
      <c r="H179" s="62"/>
      <c r="I179" s="62"/>
    </row>
    <row r="180" spans="1:9" ht="14.25" customHeight="1">
      <c r="A180" s="82">
        <v>177</v>
      </c>
      <c r="B180" s="85">
        <v>311</v>
      </c>
      <c r="C180" s="85" t="s">
        <v>38</v>
      </c>
      <c r="D180" s="227">
        <v>-570.95008000000007</v>
      </c>
      <c r="G180" s="62"/>
      <c r="H180" s="62"/>
      <c r="I180" s="62"/>
    </row>
    <row r="181" spans="1:9" ht="14.25" customHeight="1">
      <c r="A181" s="84">
        <v>178</v>
      </c>
      <c r="B181" s="85">
        <v>312</v>
      </c>
      <c r="C181" s="85" t="s">
        <v>38</v>
      </c>
      <c r="D181" s="227">
        <v>9.1290750000000003</v>
      </c>
      <c r="G181" s="62"/>
      <c r="H181" s="62"/>
      <c r="I181" s="62"/>
    </row>
    <row r="182" spans="1:9" ht="14.25" customHeight="1">
      <c r="A182" s="84">
        <v>179</v>
      </c>
      <c r="B182" s="85">
        <v>314</v>
      </c>
      <c r="C182" s="85" t="s">
        <v>38</v>
      </c>
      <c r="D182" s="227">
        <v>39.324999999999989</v>
      </c>
      <c r="G182" s="62"/>
      <c r="H182" s="62"/>
      <c r="I182" s="62"/>
    </row>
    <row r="183" spans="1:9" ht="14.25" customHeight="1">
      <c r="A183" s="82">
        <v>180</v>
      </c>
      <c r="B183" s="85">
        <v>319</v>
      </c>
      <c r="C183" s="85" t="s">
        <v>38</v>
      </c>
      <c r="D183" s="227">
        <v>45.840000000000032</v>
      </c>
      <c r="G183" s="62"/>
      <c r="H183" s="62"/>
      <c r="I183" s="62"/>
    </row>
    <row r="184" spans="1:9" ht="14.25" customHeight="1">
      <c r="A184" s="82">
        <v>181</v>
      </c>
      <c r="B184" s="85">
        <v>323</v>
      </c>
      <c r="C184" s="85" t="s">
        <v>38</v>
      </c>
      <c r="D184" s="227">
        <v>155.71448000000009</v>
      </c>
      <c r="G184" s="62"/>
      <c r="H184" s="62"/>
      <c r="I184" s="62"/>
    </row>
    <row r="185" spans="1:9" ht="14.25" customHeight="1">
      <c r="A185" s="84">
        <v>182</v>
      </c>
      <c r="B185" s="85">
        <v>324</v>
      </c>
      <c r="C185" s="85" t="s">
        <v>38</v>
      </c>
      <c r="D185" s="227">
        <v>89.393688000000054</v>
      </c>
      <c r="G185" s="62"/>
      <c r="H185" s="62"/>
      <c r="I185" s="62"/>
    </row>
    <row r="186" spans="1:9" ht="14.25" customHeight="1">
      <c r="A186" s="84">
        <v>183</v>
      </c>
      <c r="B186" s="85">
        <v>325</v>
      </c>
      <c r="C186" s="85" t="s">
        <v>38</v>
      </c>
      <c r="D186" s="227">
        <v>-134.59820000000002</v>
      </c>
      <c r="G186" s="62"/>
      <c r="H186" s="62"/>
      <c r="I186" s="62"/>
    </row>
    <row r="187" spans="1:9" ht="14.25" customHeight="1">
      <c r="A187" s="82">
        <v>184</v>
      </c>
      <c r="B187" s="85">
        <v>326</v>
      </c>
      <c r="C187" s="85" t="s">
        <v>38</v>
      </c>
      <c r="D187" s="227">
        <v>132.41034999999999</v>
      </c>
      <c r="G187" s="62"/>
      <c r="H187" s="62"/>
      <c r="I187" s="62"/>
    </row>
    <row r="188" spans="1:9" ht="14.25" customHeight="1">
      <c r="A188" s="82">
        <v>185</v>
      </c>
      <c r="B188" s="85">
        <v>327</v>
      </c>
      <c r="C188" s="85" t="s">
        <v>38</v>
      </c>
      <c r="D188" s="227">
        <v>87.4</v>
      </c>
      <c r="G188" s="62"/>
      <c r="H188" s="62"/>
      <c r="I188" s="62"/>
    </row>
    <row r="189" spans="1:9" ht="14.25" customHeight="1">
      <c r="A189" s="84">
        <v>186</v>
      </c>
      <c r="B189" s="85">
        <v>328</v>
      </c>
      <c r="C189" s="85" t="s">
        <v>38</v>
      </c>
      <c r="D189" s="227">
        <v>0.3502350000000547</v>
      </c>
      <c r="G189" s="62"/>
      <c r="H189" s="62"/>
      <c r="I189" s="62"/>
    </row>
    <row r="190" spans="1:9" ht="14.25" customHeight="1">
      <c r="A190" s="84">
        <v>187</v>
      </c>
      <c r="B190" s="85">
        <v>329</v>
      </c>
      <c r="C190" s="85" t="s">
        <v>38</v>
      </c>
      <c r="D190" s="227">
        <v>-210.63</v>
      </c>
      <c r="G190" s="62"/>
      <c r="H190" s="62"/>
      <c r="I190" s="62"/>
    </row>
    <row r="191" spans="1:9" ht="14.25" customHeight="1">
      <c r="A191" s="82">
        <v>188</v>
      </c>
      <c r="B191" s="85">
        <v>330</v>
      </c>
      <c r="C191" s="85" t="s">
        <v>38</v>
      </c>
      <c r="D191" s="227">
        <v>33.124000000000052</v>
      </c>
      <c r="G191" s="62"/>
      <c r="H191" s="62"/>
      <c r="I191" s="62"/>
    </row>
    <row r="192" spans="1:9" ht="14.25" customHeight="1">
      <c r="A192" s="82">
        <v>189</v>
      </c>
      <c r="B192" s="85">
        <v>332</v>
      </c>
      <c r="C192" s="85" t="s">
        <v>38</v>
      </c>
      <c r="D192" s="227">
        <v>99.26359999999994</v>
      </c>
      <c r="G192" s="62"/>
      <c r="H192" s="62"/>
      <c r="I192" s="62"/>
    </row>
    <row r="193" spans="1:9" ht="14.25" customHeight="1">
      <c r="A193" s="84">
        <v>190</v>
      </c>
      <c r="B193" s="85">
        <v>333</v>
      </c>
      <c r="C193" s="85" t="s">
        <v>38</v>
      </c>
      <c r="D193" s="227">
        <v>409</v>
      </c>
      <c r="G193" s="62"/>
      <c r="H193" s="62"/>
      <c r="I193" s="62"/>
    </row>
    <row r="194" spans="1:9" ht="14.25" customHeight="1">
      <c r="A194" s="84">
        <v>191</v>
      </c>
      <c r="B194" s="85">
        <v>336</v>
      </c>
      <c r="C194" s="85" t="s">
        <v>38</v>
      </c>
      <c r="D194" s="227">
        <v>134.15029799999999</v>
      </c>
      <c r="G194" s="62"/>
      <c r="H194" s="62"/>
      <c r="I194" s="62"/>
    </row>
    <row r="195" spans="1:9" ht="14.25" customHeight="1">
      <c r="A195" s="82">
        <v>192</v>
      </c>
      <c r="B195" s="85">
        <v>338</v>
      </c>
      <c r="C195" s="85" t="s">
        <v>38</v>
      </c>
      <c r="D195" s="227">
        <v>-26.081400000000002</v>
      </c>
      <c r="G195" s="62"/>
      <c r="H195" s="62"/>
      <c r="I195" s="62"/>
    </row>
    <row r="196" spans="1:9" ht="14.25" customHeight="1">
      <c r="A196" s="82">
        <v>193</v>
      </c>
      <c r="B196" s="85">
        <v>339</v>
      </c>
      <c r="C196" s="85" t="s">
        <v>38</v>
      </c>
      <c r="D196" s="227">
        <v>-286.72000000000003</v>
      </c>
      <c r="G196" s="62"/>
      <c r="H196" s="62"/>
      <c r="I196" s="62"/>
    </row>
    <row r="197" spans="1:9" ht="14.25" customHeight="1">
      <c r="A197" s="84">
        <v>194</v>
      </c>
      <c r="B197" s="85">
        <v>340</v>
      </c>
      <c r="C197" s="85" t="s">
        <v>38</v>
      </c>
      <c r="D197" s="227">
        <v>832</v>
      </c>
      <c r="G197" s="62"/>
      <c r="H197" s="62"/>
      <c r="I197" s="62"/>
    </row>
    <row r="198" spans="1:9" ht="14.25" customHeight="1">
      <c r="A198" s="84">
        <v>195</v>
      </c>
      <c r="B198" s="85">
        <v>341</v>
      </c>
      <c r="C198" s="85" t="s">
        <v>38</v>
      </c>
      <c r="D198" s="227">
        <v>62.7</v>
      </c>
      <c r="G198" s="62"/>
      <c r="H198" s="62"/>
      <c r="I198" s="62"/>
    </row>
    <row r="199" spans="1:9" ht="14.25" customHeight="1">
      <c r="A199" s="82">
        <v>196</v>
      </c>
      <c r="B199" s="85">
        <v>349</v>
      </c>
      <c r="C199" s="85" t="s">
        <v>38</v>
      </c>
      <c r="D199" s="227">
        <v>54.25</v>
      </c>
      <c r="G199" s="62"/>
      <c r="H199" s="62"/>
      <c r="I199" s="62"/>
    </row>
    <row r="200" spans="1:9" ht="14.25" customHeight="1">
      <c r="A200" s="82">
        <v>197</v>
      </c>
      <c r="B200" s="85">
        <v>353</v>
      </c>
      <c r="C200" s="85" t="s">
        <v>38</v>
      </c>
      <c r="D200" s="227">
        <v>554.54</v>
      </c>
      <c r="G200" s="62"/>
      <c r="H200" s="62"/>
      <c r="I200" s="62"/>
    </row>
    <row r="201" spans="1:9" ht="14.25" customHeight="1">
      <c r="A201" s="84">
        <v>198</v>
      </c>
      <c r="B201" s="85">
        <v>354</v>
      </c>
      <c r="C201" s="85" t="s">
        <v>38</v>
      </c>
      <c r="D201" s="227">
        <v>110.96179999999998</v>
      </c>
      <c r="G201" s="62"/>
      <c r="H201" s="62"/>
      <c r="I201" s="62"/>
    </row>
    <row r="202" spans="1:9" ht="14.25" customHeight="1">
      <c r="A202" s="84">
        <v>199</v>
      </c>
      <c r="B202" s="85">
        <v>356</v>
      </c>
      <c r="C202" s="85" t="s">
        <v>38</v>
      </c>
      <c r="D202" s="227">
        <v>-29.86869999999999</v>
      </c>
      <c r="G202" s="62"/>
      <c r="H202" s="62"/>
      <c r="I202" s="62"/>
    </row>
    <row r="203" spans="1:9" ht="14.25" customHeight="1">
      <c r="A203" s="82">
        <v>200</v>
      </c>
      <c r="B203" s="85">
        <v>359</v>
      </c>
      <c r="C203" s="85" t="s">
        <v>38</v>
      </c>
      <c r="D203" s="227">
        <v>263.6857</v>
      </c>
      <c r="G203" s="62"/>
      <c r="H203" s="62"/>
      <c r="I203" s="62"/>
    </row>
    <row r="204" spans="1:9" ht="14.25" customHeight="1">
      <c r="A204" s="82">
        <v>201</v>
      </c>
      <c r="B204" s="85">
        <v>360</v>
      </c>
      <c r="C204" s="85" t="s">
        <v>38</v>
      </c>
      <c r="D204" s="227">
        <v>406.69999999999987</v>
      </c>
      <c r="G204" s="62"/>
      <c r="H204" s="62"/>
      <c r="I204" s="62"/>
    </row>
    <row r="205" spans="1:9" ht="14.25" customHeight="1">
      <c r="A205" s="84">
        <v>202</v>
      </c>
      <c r="B205" s="85">
        <v>361</v>
      </c>
      <c r="C205" s="85" t="s">
        <v>38</v>
      </c>
      <c r="D205" s="227">
        <v>272.88779999999997</v>
      </c>
      <c r="G205" s="62"/>
      <c r="H205" s="62"/>
      <c r="I205" s="62"/>
    </row>
    <row r="206" spans="1:9" ht="14.25" customHeight="1">
      <c r="A206" s="84">
        <v>203</v>
      </c>
      <c r="B206" s="85">
        <v>363</v>
      </c>
      <c r="C206" s="85" t="s">
        <v>38</v>
      </c>
      <c r="D206" s="227">
        <v>-138.43</v>
      </c>
      <c r="G206" s="62"/>
      <c r="H206" s="62"/>
      <c r="I206" s="62"/>
    </row>
    <row r="207" spans="1:9" ht="14.25" customHeight="1">
      <c r="A207" s="82">
        <v>204</v>
      </c>
      <c r="B207" s="85">
        <v>364</v>
      </c>
      <c r="C207" s="85" t="s">
        <v>38</v>
      </c>
      <c r="D207" s="227">
        <v>91.813299999999998</v>
      </c>
      <c r="G207" s="62"/>
      <c r="H207" s="62"/>
      <c r="I207" s="62"/>
    </row>
    <row r="208" spans="1:9" ht="14.25" customHeight="1">
      <c r="A208" s="82">
        <v>205</v>
      </c>
      <c r="B208" s="85">
        <v>366</v>
      </c>
      <c r="C208" s="85" t="s">
        <v>38</v>
      </c>
      <c r="D208" s="227">
        <v>-208.14500000000001</v>
      </c>
      <c r="G208" s="62"/>
      <c r="H208" s="62"/>
      <c r="I208" s="62"/>
    </row>
    <row r="209" spans="1:9" ht="14.25" customHeight="1">
      <c r="A209" s="84">
        <v>206</v>
      </c>
      <c r="B209" s="85">
        <v>371</v>
      </c>
      <c r="C209" s="85" t="s">
        <v>38</v>
      </c>
      <c r="D209" s="227">
        <v>4.7568199999999763</v>
      </c>
      <c r="G209" s="62"/>
      <c r="H209" s="62"/>
      <c r="I209" s="62"/>
    </row>
    <row r="210" spans="1:9" ht="14.25" customHeight="1">
      <c r="A210" s="84">
        <v>207</v>
      </c>
      <c r="B210" s="85">
        <v>372</v>
      </c>
      <c r="C210" s="85" t="s">
        <v>38</v>
      </c>
      <c r="D210" s="227">
        <v>152.70699999999999</v>
      </c>
      <c r="G210" s="62"/>
      <c r="H210" s="62"/>
      <c r="I210" s="62"/>
    </row>
    <row r="211" spans="1:9" ht="14.25" customHeight="1">
      <c r="A211" s="82">
        <v>208</v>
      </c>
      <c r="B211" s="85">
        <v>374</v>
      </c>
      <c r="C211" s="85" t="s">
        <v>38</v>
      </c>
      <c r="D211" s="227">
        <v>223.5</v>
      </c>
      <c r="G211" s="62"/>
      <c r="H211" s="62"/>
      <c r="I211" s="62"/>
    </row>
    <row r="212" spans="1:9" ht="14.25" customHeight="1">
      <c r="A212" s="82">
        <v>209</v>
      </c>
      <c r="B212" s="85">
        <v>380</v>
      </c>
      <c r="C212" s="85" t="s">
        <v>38</v>
      </c>
      <c r="D212" s="227">
        <v>-405.52</v>
      </c>
      <c r="G212" s="62"/>
      <c r="H212" s="62"/>
      <c r="I212" s="62"/>
    </row>
    <row r="213" spans="1:9" ht="14.25" customHeight="1">
      <c r="A213" s="84">
        <v>210</v>
      </c>
      <c r="B213" s="85">
        <v>381</v>
      </c>
      <c r="C213" s="85" t="s">
        <v>38</v>
      </c>
      <c r="D213" s="227">
        <v>-175.5</v>
      </c>
      <c r="G213" s="62"/>
      <c r="H213" s="62"/>
      <c r="I213" s="62"/>
    </row>
    <row r="214" spans="1:9" ht="14.25" customHeight="1">
      <c r="A214" s="84">
        <v>211</v>
      </c>
      <c r="B214" s="85">
        <v>383</v>
      </c>
      <c r="C214" s="85" t="s">
        <v>38</v>
      </c>
      <c r="D214" s="227">
        <v>60.082299999999975</v>
      </c>
      <c r="G214" s="62"/>
      <c r="H214" s="62"/>
      <c r="I214" s="62"/>
    </row>
    <row r="215" spans="1:9" ht="14.25" customHeight="1">
      <c r="A215" s="82">
        <v>212</v>
      </c>
      <c r="B215" s="85">
        <v>384</v>
      </c>
      <c r="C215" s="85" t="s">
        <v>38</v>
      </c>
      <c r="D215" s="227">
        <v>-286.80000000000007</v>
      </c>
      <c r="G215" s="62"/>
      <c r="H215" s="62"/>
      <c r="I215" s="62"/>
    </row>
    <row r="216" spans="1:9" ht="14.25" customHeight="1">
      <c r="A216" s="82">
        <v>213</v>
      </c>
      <c r="B216" s="85">
        <v>385</v>
      </c>
      <c r="C216" s="85" t="s">
        <v>38</v>
      </c>
      <c r="D216" s="227">
        <v>-84.759999999999991</v>
      </c>
      <c r="G216" s="62"/>
      <c r="H216" s="62"/>
      <c r="I216" s="62"/>
    </row>
    <row r="217" spans="1:9" ht="14.25" customHeight="1">
      <c r="A217" s="84">
        <v>214</v>
      </c>
      <c r="B217" s="85">
        <v>388</v>
      </c>
      <c r="C217" s="85" t="s">
        <v>38</v>
      </c>
      <c r="D217" s="227">
        <v>-429.95029999999997</v>
      </c>
      <c r="G217" s="62"/>
      <c r="H217" s="62"/>
      <c r="I217" s="62"/>
    </row>
    <row r="218" spans="1:9" ht="14.25" customHeight="1">
      <c r="A218" s="84">
        <v>215</v>
      </c>
      <c r="B218" s="85">
        <v>389</v>
      </c>
      <c r="C218" s="85" t="s">
        <v>38</v>
      </c>
      <c r="D218" s="227">
        <v>297.94362000000001</v>
      </c>
      <c r="G218" s="62"/>
      <c r="H218" s="62"/>
      <c r="I218" s="62"/>
    </row>
    <row r="219" spans="1:9" ht="14.25" customHeight="1">
      <c r="A219" s="82">
        <v>216</v>
      </c>
      <c r="B219" s="85">
        <v>390</v>
      </c>
      <c r="C219" s="85" t="s">
        <v>38</v>
      </c>
      <c r="D219" s="227">
        <v>158.04952</v>
      </c>
      <c r="G219" s="62"/>
      <c r="H219" s="62"/>
      <c r="I219" s="62"/>
    </row>
    <row r="220" spans="1:9" ht="14.25" customHeight="1">
      <c r="A220" s="82">
        <v>217</v>
      </c>
      <c r="B220" s="85">
        <v>391</v>
      </c>
      <c r="C220" s="85" t="s">
        <v>38</v>
      </c>
      <c r="D220" s="227">
        <v>-36</v>
      </c>
      <c r="G220" s="62"/>
      <c r="H220" s="62"/>
      <c r="I220" s="62"/>
    </row>
    <row r="221" spans="1:9" ht="14.25" customHeight="1">
      <c r="A221" s="84">
        <v>218</v>
      </c>
      <c r="B221" s="85">
        <v>392</v>
      </c>
      <c r="C221" s="85" t="s">
        <v>38</v>
      </c>
      <c r="D221" s="227">
        <v>-768.18000000000006</v>
      </c>
      <c r="G221" s="62"/>
      <c r="H221" s="62"/>
      <c r="I221" s="62"/>
    </row>
    <row r="222" spans="1:9" ht="14.25" customHeight="1">
      <c r="A222" s="84">
        <v>219</v>
      </c>
      <c r="B222" s="85">
        <v>394</v>
      </c>
      <c r="C222" s="85" t="s">
        <v>38</v>
      </c>
      <c r="D222" s="227">
        <v>490</v>
      </c>
      <c r="G222" s="62"/>
      <c r="H222" s="62"/>
      <c r="I222" s="62"/>
    </row>
    <row r="223" spans="1:9" ht="14.25" customHeight="1">
      <c r="A223" s="82">
        <v>220</v>
      </c>
      <c r="B223" s="85">
        <v>395</v>
      </c>
      <c r="C223" s="85" t="s">
        <v>38</v>
      </c>
      <c r="D223" s="227">
        <v>-203.84734000000003</v>
      </c>
      <c r="G223" s="62"/>
      <c r="H223" s="62"/>
      <c r="I223" s="62"/>
    </row>
    <row r="224" spans="1:9" ht="14.25" customHeight="1">
      <c r="A224" s="82">
        <v>221</v>
      </c>
      <c r="B224" s="85">
        <v>396</v>
      </c>
      <c r="C224" s="85" t="s">
        <v>38</v>
      </c>
      <c r="D224" s="227">
        <v>-10.130830000000003</v>
      </c>
      <c r="G224" s="62"/>
      <c r="H224" s="62"/>
      <c r="I224" s="62"/>
    </row>
    <row r="225" spans="1:9" ht="14.25" customHeight="1">
      <c r="A225" s="84">
        <v>222</v>
      </c>
      <c r="B225" s="85">
        <v>398</v>
      </c>
      <c r="C225" s="85" t="s">
        <v>38</v>
      </c>
      <c r="D225" s="227">
        <v>-58.013999999999925</v>
      </c>
      <c r="G225" s="62"/>
      <c r="H225" s="62"/>
      <c r="I225" s="62"/>
    </row>
    <row r="226" spans="1:9" ht="14.25" customHeight="1">
      <c r="A226" s="84">
        <v>223</v>
      </c>
      <c r="B226" s="85">
        <v>402</v>
      </c>
      <c r="C226" s="85" t="s">
        <v>38</v>
      </c>
      <c r="D226" s="227">
        <v>298</v>
      </c>
      <c r="G226" s="62"/>
      <c r="H226" s="62"/>
      <c r="I226" s="62"/>
    </row>
    <row r="227" spans="1:9" ht="14.25" customHeight="1">
      <c r="A227" s="82">
        <v>224</v>
      </c>
      <c r="B227" s="85">
        <v>403</v>
      </c>
      <c r="C227" s="85" t="s">
        <v>38</v>
      </c>
      <c r="D227" s="227">
        <v>19.993717500000002</v>
      </c>
      <c r="G227" s="62"/>
      <c r="H227" s="62"/>
      <c r="I227" s="62"/>
    </row>
    <row r="228" spans="1:9" ht="14.25" customHeight="1">
      <c r="A228" s="82">
        <v>225</v>
      </c>
      <c r="B228" s="85">
        <v>405</v>
      </c>
      <c r="C228" s="85" t="s">
        <v>38</v>
      </c>
      <c r="D228" s="227">
        <v>-10.273699999999963</v>
      </c>
      <c r="G228" s="62"/>
      <c r="H228" s="62"/>
      <c r="I228" s="62"/>
    </row>
    <row r="229" spans="1:9" ht="14.25" customHeight="1">
      <c r="A229" s="84">
        <v>226</v>
      </c>
      <c r="B229" s="85">
        <v>406</v>
      </c>
      <c r="C229" s="85" t="s">
        <v>38</v>
      </c>
      <c r="D229" s="227">
        <v>-83.272442500000011</v>
      </c>
      <c r="G229" s="62"/>
      <c r="H229" s="62"/>
      <c r="I229" s="62"/>
    </row>
    <row r="230" spans="1:9" ht="14.25" customHeight="1">
      <c r="A230" s="84">
        <v>227</v>
      </c>
      <c r="B230" s="85">
        <v>407</v>
      </c>
      <c r="C230" s="85" t="s">
        <v>38</v>
      </c>
      <c r="D230" s="227">
        <v>-366</v>
      </c>
      <c r="G230" s="62"/>
      <c r="H230" s="62"/>
      <c r="I230" s="62"/>
    </row>
    <row r="231" spans="1:9" ht="14.25" customHeight="1">
      <c r="A231" s="82">
        <v>228</v>
      </c>
      <c r="B231" s="85">
        <v>409</v>
      </c>
      <c r="C231" s="85" t="s">
        <v>38</v>
      </c>
      <c r="D231" s="227">
        <v>-42.1952</v>
      </c>
      <c r="G231" s="62"/>
      <c r="H231" s="62"/>
      <c r="I231" s="62"/>
    </row>
    <row r="232" spans="1:9" ht="14.25" customHeight="1">
      <c r="A232" s="82">
        <v>229</v>
      </c>
      <c r="B232" s="85">
        <v>410</v>
      </c>
      <c r="C232" s="85" t="s">
        <v>38</v>
      </c>
      <c r="D232" s="227">
        <v>240.719075</v>
      </c>
      <c r="G232" s="62"/>
      <c r="H232" s="62"/>
      <c r="I232" s="62"/>
    </row>
    <row r="233" spans="1:9" ht="14.25" customHeight="1">
      <c r="A233" s="84">
        <v>230</v>
      </c>
      <c r="B233" s="85">
        <v>411</v>
      </c>
      <c r="C233" s="85" t="s">
        <v>38</v>
      </c>
      <c r="D233" s="227">
        <v>205.32999999999998</v>
      </c>
      <c r="G233" s="62"/>
      <c r="H233" s="62"/>
      <c r="I233" s="62"/>
    </row>
    <row r="234" spans="1:9" ht="14.25" customHeight="1">
      <c r="A234" s="84">
        <v>231</v>
      </c>
      <c r="B234" s="85">
        <v>412</v>
      </c>
      <c r="C234" s="85" t="s">
        <v>38</v>
      </c>
      <c r="D234" s="227">
        <v>-79.908600000000007</v>
      </c>
      <c r="G234" s="62"/>
      <c r="H234" s="62"/>
      <c r="I234" s="62"/>
    </row>
    <row r="235" spans="1:9" ht="14.25" customHeight="1">
      <c r="A235" s="82">
        <v>232</v>
      </c>
      <c r="B235" s="85">
        <v>413</v>
      </c>
      <c r="C235" s="85" t="s">
        <v>38</v>
      </c>
      <c r="D235" s="227">
        <v>36.843335000000025</v>
      </c>
      <c r="G235" s="62"/>
      <c r="H235" s="62"/>
      <c r="I235" s="62"/>
    </row>
    <row r="236" spans="1:9" ht="14.25" customHeight="1">
      <c r="A236" s="82">
        <v>233</v>
      </c>
      <c r="B236" s="85">
        <v>416</v>
      </c>
      <c r="C236" s="85" t="s">
        <v>38</v>
      </c>
      <c r="D236" s="227">
        <v>-7.1623000000000161</v>
      </c>
      <c r="G236" s="62"/>
      <c r="H236" s="62"/>
      <c r="I236" s="62"/>
    </row>
    <row r="237" spans="1:9" ht="14.25" customHeight="1">
      <c r="A237" s="84">
        <v>234</v>
      </c>
      <c r="B237" s="85">
        <v>417</v>
      </c>
      <c r="C237" s="85" t="s">
        <v>38</v>
      </c>
      <c r="D237" s="227">
        <v>69.425999999999931</v>
      </c>
      <c r="G237" s="62"/>
      <c r="H237" s="62"/>
      <c r="I237" s="62"/>
    </row>
    <row r="238" spans="1:9" ht="14.25" customHeight="1">
      <c r="A238" s="84">
        <v>235</v>
      </c>
      <c r="B238" s="85">
        <v>425</v>
      </c>
      <c r="C238" s="85" t="s">
        <v>38</v>
      </c>
      <c r="D238" s="227">
        <v>-2.3587000000000558</v>
      </c>
      <c r="G238" s="62"/>
      <c r="H238" s="62"/>
      <c r="I238" s="62"/>
    </row>
    <row r="239" spans="1:9" ht="14.25" customHeight="1">
      <c r="A239" s="82">
        <v>236</v>
      </c>
      <c r="B239" s="85">
        <v>431</v>
      </c>
      <c r="C239" s="85" t="s">
        <v>38</v>
      </c>
      <c r="D239" s="227">
        <v>-103.25199908799993</v>
      </c>
      <c r="G239" s="62"/>
      <c r="H239" s="62"/>
      <c r="I239" s="62"/>
    </row>
    <row r="240" spans="1:9" ht="14.25" customHeight="1">
      <c r="A240" s="82">
        <v>237</v>
      </c>
      <c r="B240" s="85">
        <v>432</v>
      </c>
      <c r="C240" s="85" t="s">
        <v>38</v>
      </c>
      <c r="D240" s="227">
        <v>-120</v>
      </c>
      <c r="G240" s="62"/>
      <c r="H240" s="62"/>
      <c r="I240" s="62"/>
    </row>
    <row r="241" spans="1:9" ht="14.25" customHeight="1">
      <c r="A241" s="84">
        <v>238</v>
      </c>
      <c r="B241" s="85">
        <v>437</v>
      </c>
      <c r="C241" s="85" t="s">
        <v>38</v>
      </c>
      <c r="D241" s="227">
        <v>32.5</v>
      </c>
      <c r="G241" s="62"/>
      <c r="H241" s="62"/>
      <c r="I241" s="62"/>
    </row>
    <row r="242" spans="1:9" ht="14.25" customHeight="1">
      <c r="A242" s="84">
        <v>239</v>
      </c>
      <c r="B242" s="85">
        <v>441</v>
      </c>
      <c r="C242" s="85" t="s">
        <v>38</v>
      </c>
      <c r="D242" s="227">
        <v>54.888785000000013</v>
      </c>
      <c r="G242" s="62"/>
      <c r="H242" s="62"/>
      <c r="I242" s="62"/>
    </row>
    <row r="243" spans="1:9" ht="14.25" customHeight="1">
      <c r="A243" s="82">
        <v>240</v>
      </c>
      <c r="B243" s="85">
        <v>442</v>
      </c>
      <c r="C243" s="85" t="s">
        <v>38</v>
      </c>
      <c r="D243" s="227">
        <v>82.775374999999997</v>
      </c>
      <c r="G243" s="62"/>
      <c r="H243" s="62"/>
      <c r="I243" s="62"/>
    </row>
    <row r="244" spans="1:9" ht="14.25" customHeight="1">
      <c r="A244" s="82">
        <v>241</v>
      </c>
      <c r="B244" s="85">
        <v>445</v>
      </c>
      <c r="C244" s="85" t="s">
        <v>38</v>
      </c>
      <c r="D244" s="227">
        <v>-25.745000000000005</v>
      </c>
      <c r="G244" s="62"/>
      <c r="H244" s="62"/>
      <c r="I244" s="62"/>
    </row>
    <row r="245" spans="1:9" ht="14.25" customHeight="1">
      <c r="A245" s="84">
        <v>242</v>
      </c>
      <c r="B245" s="85">
        <v>447</v>
      </c>
      <c r="C245" s="85" t="s">
        <v>38</v>
      </c>
      <c r="D245" s="227">
        <v>-332.39</v>
      </c>
      <c r="G245" s="62"/>
      <c r="H245" s="62"/>
      <c r="I245" s="62"/>
    </row>
    <row r="246" spans="1:9" ht="14.25" customHeight="1">
      <c r="A246" s="84">
        <v>243</v>
      </c>
      <c r="B246" s="85">
        <v>450</v>
      </c>
      <c r="C246" s="85" t="s">
        <v>38</v>
      </c>
      <c r="D246" s="227">
        <v>-110.22809999999998</v>
      </c>
      <c r="G246" s="62"/>
      <c r="H246" s="62"/>
      <c r="I246" s="62"/>
    </row>
    <row r="247" spans="1:9" ht="14.25" customHeight="1">
      <c r="A247" s="82">
        <v>244</v>
      </c>
      <c r="B247" s="85">
        <v>451</v>
      </c>
      <c r="C247" s="85" t="s">
        <v>38</v>
      </c>
      <c r="D247" s="227">
        <v>-643.22</v>
      </c>
      <c r="G247" s="62"/>
      <c r="H247" s="62"/>
      <c r="I247" s="62"/>
    </row>
    <row r="248" spans="1:9" ht="14.25" customHeight="1">
      <c r="A248" s="82">
        <v>245</v>
      </c>
      <c r="B248" s="85">
        <v>456</v>
      </c>
      <c r="C248" s="85" t="s">
        <v>38</v>
      </c>
      <c r="D248" s="227">
        <v>-342.5</v>
      </c>
      <c r="G248" s="62"/>
      <c r="H248" s="62"/>
      <c r="I248" s="62"/>
    </row>
    <row r="249" spans="1:9" ht="14.25" customHeight="1">
      <c r="A249" s="84">
        <v>246</v>
      </c>
      <c r="B249" s="85">
        <v>463</v>
      </c>
      <c r="C249" s="85" t="s">
        <v>38</v>
      </c>
      <c r="D249" s="227">
        <v>28.506500000000017</v>
      </c>
      <c r="G249" s="62"/>
      <c r="H249" s="62"/>
      <c r="I249" s="62"/>
    </row>
    <row r="250" spans="1:9" ht="14.25" customHeight="1">
      <c r="A250" s="84">
        <v>247</v>
      </c>
      <c r="B250" s="85">
        <v>467</v>
      </c>
      <c r="C250" s="85" t="s">
        <v>38</v>
      </c>
      <c r="D250" s="227">
        <v>-792.24849999999992</v>
      </c>
      <c r="G250" s="62"/>
      <c r="H250" s="62"/>
      <c r="I250" s="62"/>
    </row>
    <row r="251" spans="1:9" ht="14.25" customHeight="1">
      <c r="A251" s="82">
        <v>248</v>
      </c>
      <c r="B251" s="85">
        <v>470</v>
      </c>
      <c r="C251" s="85" t="s">
        <v>38</v>
      </c>
      <c r="D251" s="227">
        <v>-20.800000000000011</v>
      </c>
      <c r="G251" s="62"/>
      <c r="H251" s="62"/>
      <c r="I251" s="62"/>
    </row>
    <row r="252" spans="1:9" ht="14.25" customHeight="1">
      <c r="A252" s="82">
        <v>249</v>
      </c>
      <c r="B252" s="85">
        <v>471</v>
      </c>
      <c r="C252" s="85" t="s">
        <v>38</v>
      </c>
      <c r="D252" s="227">
        <v>7.0999999999999943</v>
      </c>
      <c r="G252" s="62"/>
      <c r="H252" s="62"/>
      <c r="I252" s="62"/>
    </row>
    <row r="253" spans="1:9" ht="14.25" customHeight="1">
      <c r="A253" s="84">
        <v>250</v>
      </c>
      <c r="B253" s="85">
        <v>472</v>
      </c>
      <c r="C253" s="85" t="s">
        <v>38</v>
      </c>
      <c r="D253" s="227">
        <v>23.099999999999994</v>
      </c>
      <c r="G253" s="62"/>
      <c r="H253" s="62"/>
      <c r="I253" s="62"/>
    </row>
    <row r="254" spans="1:9" ht="14.25" customHeight="1">
      <c r="A254" s="84">
        <v>251</v>
      </c>
      <c r="B254" s="85">
        <v>473</v>
      </c>
      <c r="C254" s="85" t="s">
        <v>38</v>
      </c>
      <c r="D254" s="227">
        <v>39.699999999999989</v>
      </c>
      <c r="G254" s="62"/>
      <c r="H254" s="62"/>
      <c r="I254" s="62"/>
    </row>
    <row r="255" spans="1:9" ht="14.25" customHeight="1">
      <c r="A255" s="82">
        <v>252</v>
      </c>
      <c r="B255" s="85">
        <v>474</v>
      </c>
      <c r="C255" s="85" t="s">
        <v>38</v>
      </c>
      <c r="D255" s="227">
        <v>-232.72</v>
      </c>
      <c r="G255" s="62"/>
      <c r="H255" s="62"/>
      <c r="I255" s="62"/>
    </row>
    <row r="256" spans="1:9" ht="14.25" customHeight="1">
      <c r="A256" s="82">
        <v>253</v>
      </c>
      <c r="B256" s="85">
        <v>475</v>
      </c>
      <c r="C256" s="85" t="s">
        <v>38</v>
      </c>
      <c r="D256" s="227">
        <v>-12.899999999999977</v>
      </c>
      <c r="G256" s="62"/>
      <c r="H256" s="62"/>
      <c r="I256" s="62"/>
    </row>
    <row r="257" spans="1:9" ht="14.25" customHeight="1">
      <c r="A257" s="84">
        <v>254</v>
      </c>
      <c r="B257" s="85">
        <v>476</v>
      </c>
      <c r="C257" s="85" t="s">
        <v>38</v>
      </c>
      <c r="D257" s="227">
        <v>-33</v>
      </c>
      <c r="G257" s="62"/>
      <c r="H257" s="62"/>
      <c r="I257" s="62"/>
    </row>
    <row r="258" spans="1:9" ht="14.25" customHeight="1">
      <c r="A258" s="84">
        <v>255</v>
      </c>
      <c r="B258" s="85">
        <v>477</v>
      </c>
      <c r="C258" s="85" t="s">
        <v>38</v>
      </c>
      <c r="D258" s="227">
        <v>86.600000000000023</v>
      </c>
      <c r="G258" s="62"/>
      <c r="H258" s="62"/>
      <c r="I258" s="62"/>
    </row>
    <row r="259" spans="1:9" ht="14.25" customHeight="1">
      <c r="A259" s="82">
        <v>256</v>
      </c>
      <c r="B259" s="85">
        <v>480</v>
      </c>
      <c r="C259" s="85" t="s">
        <v>38</v>
      </c>
      <c r="D259" s="227">
        <v>-28.726361999999995</v>
      </c>
      <c r="G259" s="62"/>
      <c r="H259" s="62"/>
      <c r="I259" s="62"/>
    </row>
    <row r="260" spans="1:9" ht="14.25" customHeight="1">
      <c r="A260" s="82">
        <v>257</v>
      </c>
      <c r="B260" s="85">
        <v>483</v>
      </c>
      <c r="C260" s="85" t="s">
        <v>38</v>
      </c>
      <c r="D260" s="227">
        <v>-420.37</v>
      </c>
      <c r="G260" s="62"/>
      <c r="H260" s="62"/>
      <c r="I260" s="62"/>
    </row>
    <row r="261" spans="1:9" ht="14.25" customHeight="1">
      <c r="A261" s="84">
        <v>258</v>
      </c>
      <c r="B261" s="85">
        <v>485</v>
      </c>
      <c r="C261" s="85" t="s">
        <v>38</v>
      </c>
      <c r="D261" s="227">
        <v>135.8724575</v>
      </c>
      <c r="G261" s="62"/>
      <c r="H261" s="62"/>
      <c r="I261" s="62"/>
    </row>
    <row r="262" spans="1:9" ht="14.25" customHeight="1">
      <c r="A262" s="84">
        <v>259</v>
      </c>
      <c r="B262" s="85">
        <v>489</v>
      </c>
      <c r="C262" s="85" t="s">
        <v>38</v>
      </c>
      <c r="D262" s="227">
        <v>112.53999999999999</v>
      </c>
      <c r="G262" s="62"/>
      <c r="H262" s="62"/>
      <c r="I262" s="62"/>
    </row>
    <row r="263" spans="1:9" ht="14.25" customHeight="1">
      <c r="A263" s="82">
        <v>260</v>
      </c>
      <c r="B263" s="85">
        <v>491</v>
      </c>
      <c r="C263" s="85" t="s">
        <v>38</v>
      </c>
      <c r="D263" s="227">
        <v>-35</v>
      </c>
      <c r="G263" s="62"/>
      <c r="H263" s="62"/>
      <c r="I263" s="62"/>
    </row>
    <row r="264" spans="1:9" ht="14.25" customHeight="1">
      <c r="A264" s="82">
        <v>261</v>
      </c>
      <c r="B264" s="85">
        <v>493</v>
      </c>
      <c r="C264" s="85" t="s">
        <v>38</v>
      </c>
      <c r="D264" s="227">
        <v>-87.25</v>
      </c>
      <c r="G264" s="62"/>
      <c r="H264" s="62"/>
      <c r="I264" s="62"/>
    </row>
    <row r="265" spans="1:9" ht="14.25" customHeight="1">
      <c r="A265" s="84">
        <v>262</v>
      </c>
      <c r="B265" s="85">
        <v>497</v>
      </c>
      <c r="C265" s="85" t="s">
        <v>38</v>
      </c>
      <c r="D265" s="227">
        <v>136.21335749999997</v>
      </c>
      <c r="G265" s="62"/>
      <c r="H265" s="62"/>
      <c r="I265" s="62"/>
    </row>
    <row r="266" spans="1:9" ht="14.25" customHeight="1">
      <c r="A266" s="84">
        <v>263</v>
      </c>
      <c r="B266" s="85">
        <v>501</v>
      </c>
      <c r="C266" s="85" t="s">
        <v>38</v>
      </c>
      <c r="D266" s="227">
        <v>228.5</v>
      </c>
      <c r="G266" s="62"/>
      <c r="H266" s="62"/>
      <c r="I266" s="62"/>
    </row>
    <row r="267" spans="1:9" ht="14.25" customHeight="1">
      <c r="A267" s="82">
        <v>264</v>
      </c>
      <c r="B267" s="85">
        <v>508</v>
      </c>
      <c r="C267" s="85" t="s">
        <v>38</v>
      </c>
      <c r="D267" s="227">
        <v>128.46941499999997</v>
      </c>
      <c r="G267" s="62"/>
      <c r="H267" s="62"/>
      <c r="I267" s="62"/>
    </row>
    <row r="268" spans="1:9" ht="14.25" customHeight="1">
      <c r="A268" s="82">
        <v>265</v>
      </c>
      <c r="B268" s="85">
        <v>509</v>
      </c>
      <c r="C268" s="85" t="s">
        <v>38</v>
      </c>
      <c r="D268" s="227">
        <v>216.0479125</v>
      </c>
      <c r="G268" s="62"/>
      <c r="H268" s="62"/>
      <c r="I268" s="62"/>
    </row>
    <row r="269" spans="1:9" ht="14.25" customHeight="1">
      <c r="A269" s="84">
        <v>266</v>
      </c>
      <c r="B269" s="85">
        <v>512</v>
      </c>
      <c r="C269" s="85" t="s">
        <v>38</v>
      </c>
      <c r="D269" s="227">
        <v>-94.500000000000114</v>
      </c>
      <c r="G269" s="62"/>
      <c r="H269" s="62"/>
      <c r="I269" s="62"/>
    </row>
    <row r="270" spans="1:9" ht="14.25" customHeight="1">
      <c r="A270" s="84">
        <v>267</v>
      </c>
      <c r="B270" s="85">
        <v>513</v>
      </c>
      <c r="C270" s="85" t="s">
        <v>38</v>
      </c>
      <c r="D270" s="227">
        <v>90.13900000000001</v>
      </c>
      <c r="G270" s="62"/>
      <c r="H270" s="62"/>
      <c r="I270" s="62"/>
    </row>
    <row r="271" spans="1:9" ht="14.25" customHeight="1">
      <c r="A271" s="82">
        <v>268</v>
      </c>
      <c r="B271" s="85">
        <v>514</v>
      </c>
      <c r="C271" s="85" t="s">
        <v>38</v>
      </c>
      <c r="D271" s="227">
        <v>-124.28900000000002</v>
      </c>
      <c r="G271" s="62"/>
      <c r="H271" s="62"/>
      <c r="I271" s="62"/>
    </row>
    <row r="272" spans="1:9" ht="14.25" customHeight="1">
      <c r="A272" s="82">
        <v>269</v>
      </c>
      <c r="B272" s="85">
        <v>517</v>
      </c>
      <c r="C272" s="85" t="s">
        <v>38</v>
      </c>
      <c r="D272" s="227">
        <v>-53.199999999999989</v>
      </c>
      <c r="G272" s="62"/>
      <c r="H272" s="62"/>
      <c r="I272" s="62"/>
    </row>
    <row r="273" spans="1:9" ht="14.25" customHeight="1">
      <c r="A273" s="84">
        <v>270</v>
      </c>
      <c r="B273" s="85">
        <v>523</v>
      </c>
      <c r="C273" s="85" t="s">
        <v>38</v>
      </c>
      <c r="D273" s="227">
        <v>-64.185500000000047</v>
      </c>
      <c r="G273" s="62"/>
      <c r="H273" s="62"/>
      <c r="I273" s="62"/>
    </row>
    <row r="274" spans="1:9" ht="14.25" customHeight="1">
      <c r="A274" s="84">
        <v>271</v>
      </c>
      <c r="B274" s="85">
        <v>524</v>
      </c>
      <c r="C274" s="85" t="s">
        <v>38</v>
      </c>
      <c r="D274" s="227">
        <v>98.284260000000017</v>
      </c>
      <c r="G274" s="62"/>
      <c r="H274" s="62"/>
      <c r="I274" s="62"/>
    </row>
    <row r="275" spans="1:9" ht="14.25" customHeight="1">
      <c r="A275" s="82">
        <v>272</v>
      </c>
      <c r="B275" s="85">
        <v>526</v>
      </c>
      <c r="C275" s="85" t="s">
        <v>38</v>
      </c>
      <c r="D275" s="227">
        <v>12.893900000000031</v>
      </c>
      <c r="G275" s="62"/>
      <c r="H275" s="62"/>
      <c r="I275" s="62"/>
    </row>
    <row r="276" spans="1:9" ht="14.25" customHeight="1">
      <c r="A276" s="82">
        <v>273</v>
      </c>
      <c r="B276" s="85">
        <v>527</v>
      </c>
      <c r="C276" s="85" t="s">
        <v>38</v>
      </c>
      <c r="D276" s="227">
        <v>-25.995864999999995</v>
      </c>
      <c r="G276" s="62"/>
      <c r="H276" s="62"/>
      <c r="I276" s="62"/>
    </row>
    <row r="277" spans="1:9" ht="14.25" customHeight="1">
      <c r="A277" s="84">
        <v>274</v>
      </c>
      <c r="B277" s="85">
        <v>528</v>
      </c>
      <c r="C277" s="85" t="s">
        <v>38</v>
      </c>
      <c r="D277" s="227">
        <v>4.7950600000000065</v>
      </c>
      <c r="G277" s="62"/>
      <c r="H277" s="62"/>
      <c r="I277" s="62"/>
    </row>
    <row r="278" spans="1:9" ht="14.25" customHeight="1">
      <c r="A278" s="84">
        <v>275</v>
      </c>
      <c r="B278" s="85">
        <v>529</v>
      </c>
      <c r="C278" s="85" t="s">
        <v>38</v>
      </c>
      <c r="D278" s="227">
        <v>-36.497099999999989</v>
      </c>
      <c r="G278" s="62"/>
      <c r="H278" s="62"/>
      <c r="I278" s="62"/>
    </row>
    <row r="279" spans="1:9" ht="14.25" customHeight="1">
      <c r="A279" s="82">
        <v>276</v>
      </c>
      <c r="B279" s="85">
        <v>530</v>
      </c>
      <c r="C279" s="85" t="s">
        <v>38</v>
      </c>
      <c r="D279" s="227">
        <v>65.83299999999997</v>
      </c>
      <c r="G279" s="62"/>
      <c r="H279" s="62"/>
      <c r="I279" s="62"/>
    </row>
    <row r="280" spans="1:9" ht="14.25" customHeight="1">
      <c r="A280" s="82">
        <v>277</v>
      </c>
      <c r="B280" s="85">
        <v>532</v>
      </c>
      <c r="C280" s="85" t="s">
        <v>38</v>
      </c>
      <c r="D280" s="227">
        <v>479</v>
      </c>
      <c r="G280" s="62"/>
      <c r="H280" s="62"/>
      <c r="I280" s="62"/>
    </row>
    <row r="281" spans="1:9" ht="14.25" customHeight="1">
      <c r="A281" s="84">
        <v>278</v>
      </c>
      <c r="B281" s="85">
        <v>535</v>
      </c>
      <c r="C281" s="85" t="s">
        <v>38</v>
      </c>
      <c r="D281" s="227">
        <v>-14.879999999999995</v>
      </c>
      <c r="G281" s="62"/>
      <c r="H281" s="62"/>
      <c r="I281" s="62"/>
    </row>
    <row r="282" spans="1:9" ht="14.25" customHeight="1">
      <c r="A282" s="84">
        <v>279</v>
      </c>
      <c r="B282" s="85">
        <v>536</v>
      </c>
      <c r="C282" s="85" t="s">
        <v>38</v>
      </c>
      <c r="D282" s="227">
        <v>-64.97</v>
      </c>
      <c r="G282" s="62"/>
      <c r="H282" s="62"/>
      <c r="I282" s="62"/>
    </row>
    <row r="283" spans="1:9" ht="14.25" customHeight="1">
      <c r="A283" s="82">
        <v>280</v>
      </c>
      <c r="B283" s="85">
        <v>537</v>
      </c>
      <c r="C283" s="85" t="s">
        <v>38</v>
      </c>
      <c r="D283" s="227">
        <v>-249.36536500000005</v>
      </c>
      <c r="G283" s="62"/>
      <c r="H283" s="62"/>
      <c r="I283" s="62"/>
    </row>
    <row r="284" spans="1:9" ht="14.25" customHeight="1">
      <c r="A284" s="82">
        <v>281</v>
      </c>
      <c r="B284" s="85">
        <v>539</v>
      </c>
      <c r="C284" s="85" t="s">
        <v>38</v>
      </c>
      <c r="D284" s="227">
        <v>-101.66199999999999</v>
      </c>
      <c r="G284" s="62"/>
      <c r="H284" s="62"/>
      <c r="I284" s="62"/>
    </row>
    <row r="285" spans="1:9" ht="14.25" customHeight="1">
      <c r="A285" s="84">
        <v>282</v>
      </c>
      <c r="B285" s="85">
        <v>540</v>
      </c>
      <c r="C285" s="85" t="s">
        <v>38</v>
      </c>
      <c r="D285" s="227">
        <v>196.97</v>
      </c>
      <c r="G285" s="62"/>
      <c r="H285" s="62"/>
      <c r="I285" s="62"/>
    </row>
    <row r="286" spans="1:9" ht="14.25" customHeight="1">
      <c r="A286" s="84">
        <v>283</v>
      </c>
      <c r="B286" s="85">
        <v>544</v>
      </c>
      <c r="C286" s="85" t="s">
        <v>38</v>
      </c>
      <c r="D286" s="227">
        <v>-618.08999999999992</v>
      </c>
      <c r="G286" s="62"/>
      <c r="H286" s="62"/>
      <c r="I286" s="62"/>
    </row>
    <row r="287" spans="1:9" ht="14.25" customHeight="1">
      <c r="A287" s="82">
        <v>284</v>
      </c>
      <c r="B287" s="85">
        <v>546</v>
      </c>
      <c r="C287" s="85" t="s">
        <v>38</v>
      </c>
      <c r="D287" s="227">
        <v>2.5</v>
      </c>
      <c r="G287" s="62"/>
      <c r="H287" s="62"/>
      <c r="I287" s="62"/>
    </row>
    <row r="288" spans="1:9" ht="14.25" customHeight="1">
      <c r="A288" s="82">
        <v>285</v>
      </c>
      <c r="B288" s="85">
        <v>547</v>
      </c>
      <c r="C288" s="85" t="s">
        <v>38</v>
      </c>
      <c r="D288" s="227">
        <v>-127.16334249999994</v>
      </c>
      <c r="G288" s="62"/>
      <c r="H288" s="62"/>
      <c r="I288" s="62"/>
    </row>
    <row r="289" spans="1:9" ht="14.25" customHeight="1">
      <c r="A289" s="84">
        <v>286</v>
      </c>
      <c r="B289" s="85">
        <v>548</v>
      </c>
      <c r="C289" s="85" t="s">
        <v>38</v>
      </c>
      <c r="D289" s="227">
        <v>242.95802000000003</v>
      </c>
      <c r="G289" s="62"/>
      <c r="H289" s="62"/>
      <c r="I289" s="62"/>
    </row>
    <row r="290" spans="1:9" ht="14.25" customHeight="1">
      <c r="A290" s="84">
        <v>287</v>
      </c>
      <c r="B290" s="85">
        <v>549</v>
      </c>
      <c r="C290" s="85" t="s">
        <v>38</v>
      </c>
      <c r="D290" s="227">
        <v>136</v>
      </c>
      <c r="G290" s="62"/>
      <c r="H290" s="62"/>
      <c r="I290" s="62"/>
    </row>
    <row r="291" spans="1:9" ht="14.25" customHeight="1">
      <c r="A291" s="82">
        <v>288</v>
      </c>
      <c r="B291" s="85">
        <v>552</v>
      </c>
      <c r="C291" s="85" t="s">
        <v>38</v>
      </c>
      <c r="D291" s="227">
        <v>107.12312500000002</v>
      </c>
      <c r="G291" s="62"/>
      <c r="H291" s="62"/>
      <c r="I291" s="62"/>
    </row>
    <row r="292" spans="1:9" ht="14.25" customHeight="1">
      <c r="A292" s="82">
        <v>289</v>
      </c>
      <c r="B292" s="85">
        <v>553</v>
      </c>
      <c r="C292" s="85" t="s">
        <v>38</v>
      </c>
      <c r="D292" s="227">
        <v>52.52000000000001</v>
      </c>
      <c r="G292" s="62"/>
      <c r="H292" s="62"/>
      <c r="I292" s="62"/>
    </row>
    <row r="293" spans="1:9" ht="14.25" customHeight="1">
      <c r="A293" s="84">
        <v>290</v>
      </c>
      <c r="B293" s="85">
        <v>559</v>
      </c>
      <c r="C293" s="85" t="s">
        <v>38</v>
      </c>
      <c r="D293" s="227">
        <v>15.519999999999982</v>
      </c>
      <c r="G293" s="62"/>
      <c r="H293" s="62"/>
      <c r="I293" s="62"/>
    </row>
    <row r="294" spans="1:9" ht="14.25" customHeight="1">
      <c r="A294" s="84">
        <v>291</v>
      </c>
      <c r="B294" s="85">
        <v>561</v>
      </c>
      <c r="C294" s="85" t="s">
        <v>38</v>
      </c>
      <c r="D294" s="227">
        <v>-834.45580000000007</v>
      </c>
      <c r="G294" s="62"/>
      <c r="H294" s="62"/>
      <c r="I294" s="62"/>
    </row>
    <row r="295" spans="1:9" ht="14.25" customHeight="1">
      <c r="A295" s="82">
        <v>292</v>
      </c>
      <c r="B295" s="85">
        <v>562</v>
      </c>
      <c r="C295" s="85" t="s">
        <v>38</v>
      </c>
      <c r="D295" s="227">
        <v>68.877999999999986</v>
      </c>
      <c r="G295" s="62"/>
      <c r="H295" s="62"/>
      <c r="I295" s="62"/>
    </row>
    <row r="296" spans="1:9" ht="14.25" customHeight="1">
      <c r="A296" s="82">
        <v>293</v>
      </c>
      <c r="B296" s="85">
        <v>563</v>
      </c>
      <c r="C296" s="85" t="s">
        <v>38</v>
      </c>
      <c r="D296" s="227">
        <v>-614.5187588</v>
      </c>
      <c r="G296" s="62"/>
      <c r="H296" s="62"/>
      <c r="I296" s="62"/>
    </row>
    <row r="297" spans="1:9" ht="14.25" customHeight="1">
      <c r="A297" s="84">
        <v>294</v>
      </c>
      <c r="B297" s="85">
        <v>566</v>
      </c>
      <c r="C297" s="85" t="s">
        <v>38</v>
      </c>
      <c r="D297" s="227">
        <v>47.846000000000004</v>
      </c>
      <c r="G297" s="62"/>
      <c r="H297" s="62"/>
      <c r="I297" s="62"/>
    </row>
    <row r="298" spans="1:9" ht="14.25" customHeight="1">
      <c r="A298" s="84">
        <v>295</v>
      </c>
      <c r="B298" s="85">
        <v>567</v>
      </c>
      <c r="C298" s="85" t="s">
        <v>38</v>
      </c>
      <c r="D298" s="227">
        <v>-50.338982499999929</v>
      </c>
      <c r="G298" s="62"/>
      <c r="H298" s="62"/>
      <c r="I298" s="62"/>
    </row>
    <row r="299" spans="1:9" ht="14.25" customHeight="1">
      <c r="A299" s="82">
        <v>296</v>
      </c>
      <c r="B299" s="85">
        <v>571</v>
      </c>
      <c r="C299" s="85" t="s">
        <v>38</v>
      </c>
      <c r="D299" s="227">
        <v>-404.13</v>
      </c>
      <c r="G299" s="62"/>
      <c r="H299" s="62"/>
      <c r="I299" s="62"/>
    </row>
    <row r="300" spans="1:9" ht="14.25" customHeight="1">
      <c r="A300" s="82">
        <v>297</v>
      </c>
      <c r="B300" s="85">
        <v>572</v>
      </c>
      <c r="C300" s="85" t="s">
        <v>38</v>
      </c>
      <c r="D300" s="227">
        <v>50.446500000000015</v>
      </c>
      <c r="G300" s="62"/>
      <c r="H300" s="62"/>
      <c r="I300" s="62"/>
    </row>
    <row r="301" spans="1:9" ht="14.25" customHeight="1">
      <c r="A301" s="84">
        <v>298</v>
      </c>
      <c r="B301" s="85">
        <v>577</v>
      </c>
      <c r="C301" s="85" t="s">
        <v>38</v>
      </c>
      <c r="D301" s="227">
        <v>-140.38439375000002</v>
      </c>
      <c r="G301" s="62"/>
      <c r="H301" s="62"/>
      <c r="I301" s="62"/>
    </row>
    <row r="302" spans="1:9" ht="14.25" customHeight="1">
      <c r="A302" s="84">
        <v>299</v>
      </c>
      <c r="B302" s="85">
        <v>578</v>
      </c>
      <c r="C302" s="85" t="s">
        <v>38</v>
      </c>
      <c r="D302" s="227">
        <v>-298.2</v>
      </c>
      <c r="G302" s="62"/>
      <c r="H302" s="62"/>
      <c r="I302" s="62"/>
    </row>
    <row r="303" spans="1:9" ht="14.25" customHeight="1">
      <c r="A303" s="82">
        <v>300</v>
      </c>
      <c r="B303" s="85">
        <v>579</v>
      </c>
      <c r="C303" s="85" t="s">
        <v>38</v>
      </c>
      <c r="D303" s="227">
        <v>78.583290000000034</v>
      </c>
      <c r="G303" s="62"/>
      <c r="H303" s="62"/>
      <c r="I303" s="62"/>
    </row>
    <row r="304" spans="1:9" ht="14.25" customHeight="1">
      <c r="A304" s="82">
        <v>301</v>
      </c>
      <c r="B304" s="85">
        <v>581</v>
      </c>
      <c r="C304" s="85" t="s">
        <v>38</v>
      </c>
      <c r="D304" s="227">
        <v>-89.869499999999945</v>
      </c>
      <c r="G304" s="62"/>
      <c r="H304" s="62"/>
      <c r="I304" s="62"/>
    </row>
    <row r="305" spans="1:9" ht="14.25" customHeight="1">
      <c r="A305" s="84">
        <v>302</v>
      </c>
      <c r="B305" s="85">
        <v>582</v>
      </c>
      <c r="C305" s="85" t="s">
        <v>38</v>
      </c>
      <c r="D305" s="227">
        <v>128.18450799999999</v>
      </c>
      <c r="G305" s="62"/>
      <c r="H305" s="62"/>
      <c r="I305" s="62"/>
    </row>
    <row r="306" spans="1:9" ht="14.25" customHeight="1">
      <c r="A306" s="84">
        <v>303</v>
      </c>
      <c r="B306" s="85">
        <v>585</v>
      </c>
      <c r="C306" s="85" t="s">
        <v>38</v>
      </c>
      <c r="D306" s="227">
        <v>-429.70000000000005</v>
      </c>
      <c r="G306" s="62"/>
      <c r="H306" s="62"/>
      <c r="I306" s="62"/>
    </row>
    <row r="307" spans="1:9" ht="14.25" customHeight="1">
      <c r="A307" s="82">
        <v>304</v>
      </c>
      <c r="B307" s="85">
        <v>598</v>
      </c>
      <c r="C307" s="85" t="s">
        <v>38</v>
      </c>
      <c r="D307" s="227">
        <v>-74.519999999999982</v>
      </c>
      <c r="G307" s="62"/>
      <c r="H307" s="62"/>
      <c r="I307" s="62"/>
    </row>
    <row r="308" spans="1:9" ht="14.25" customHeight="1">
      <c r="A308" s="82">
        <v>305</v>
      </c>
      <c r="B308" s="85">
        <v>599</v>
      </c>
      <c r="C308" s="85" t="s">
        <v>38</v>
      </c>
      <c r="D308" s="227">
        <v>-75.050420000000031</v>
      </c>
      <c r="G308" s="62"/>
      <c r="H308" s="62"/>
      <c r="I308" s="62"/>
    </row>
    <row r="309" spans="1:9" ht="14.25" customHeight="1">
      <c r="A309" s="84">
        <v>306</v>
      </c>
      <c r="B309" s="85">
        <v>600</v>
      </c>
      <c r="C309" s="85" t="s">
        <v>38</v>
      </c>
      <c r="D309" s="227">
        <v>290</v>
      </c>
      <c r="G309" s="62"/>
      <c r="H309" s="62"/>
      <c r="I309" s="62"/>
    </row>
    <row r="310" spans="1:9" ht="14.25" customHeight="1">
      <c r="A310" s="84">
        <v>307</v>
      </c>
      <c r="B310" s="85">
        <v>601</v>
      </c>
      <c r="C310" s="85" t="s">
        <v>38</v>
      </c>
      <c r="D310" s="227">
        <v>114.85776999999999</v>
      </c>
      <c r="G310" s="62"/>
      <c r="H310" s="62"/>
      <c r="I310" s="62"/>
    </row>
    <row r="311" spans="1:9" ht="14.25" customHeight="1">
      <c r="A311" s="82">
        <v>308</v>
      </c>
      <c r="B311" s="85">
        <v>606</v>
      </c>
      <c r="C311" s="85" t="s">
        <v>38</v>
      </c>
      <c r="D311" s="227">
        <v>-104</v>
      </c>
      <c r="G311" s="62"/>
      <c r="H311" s="62"/>
      <c r="I311" s="62"/>
    </row>
    <row r="312" spans="1:9" ht="14.25" customHeight="1">
      <c r="A312" s="82">
        <v>309</v>
      </c>
      <c r="B312" s="85">
        <v>607</v>
      </c>
      <c r="C312" s="85" t="s">
        <v>38</v>
      </c>
      <c r="D312" s="227">
        <v>631</v>
      </c>
      <c r="G312" s="62"/>
      <c r="H312" s="62"/>
      <c r="I312" s="62"/>
    </row>
    <row r="313" spans="1:9" ht="14.25" customHeight="1">
      <c r="A313" s="84">
        <v>310</v>
      </c>
      <c r="B313" s="85">
        <v>608</v>
      </c>
      <c r="C313" s="85" t="s">
        <v>38</v>
      </c>
      <c r="D313" s="227">
        <v>93.17165</v>
      </c>
      <c r="G313" s="62"/>
      <c r="H313" s="62"/>
      <c r="I313" s="62"/>
    </row>
    <row r="314" spans="1:9" ht="14.25" customHeight="1">
      <c r="A314" s="84">
        <v>311</v>
      </c>
      <c r="B314" s="85">
        <v>609</v>
      </c>
      <c r="C314" s="85" t="s">
        <v>38</v>
      </c>
      <c r="D314" s="227">
        <v>29.848000000000013</v>
      </c>
      <c r="G314" s="62"/>
      <c r="H314" s="62"/>
      <c r="I314" s="62"/>
    </row>
    <row r="315" spans="1:9" ht="14.25" customHeight="1">
      <c r="A315" s="82">
        <v>312</v>
      </c>
      <c r="B315" s="85">
        <v>611</v>
      </c>
      <c r="C315" s="85" t="s">
        <v>38</v>
      </c>
      <c r="D315" s="227">
        <v>325.39800000000002</v>
      </c>
      <c r="G315" s="62"/>
      <c r="H315" s="62"/>
      <c r="I315" s="62"/>
    </row>
    <row r="316" spans="1:9" ht="14.25" customHeight="1">
      <c r="A316" s="82">
        <v>313</v>
      </c>
      <c r="B316" s="85">
        <v>614</v>
      </c>
      <c r="C316" s="85" t="s">
        <v>38</v>
      </c>
      <c r="D316" s="227">
        <v>-9</v>
      </c>
      <c r="G316" s="62"/>
      <c r="H316" s="62"/>
      <c r="I316" s="62"/>
    </row>
    <row r="317" spans="1:9" ht="14.25" customHeight="1">
      <c r="A317" s="84">
        <v>314</v>
      </c>
      <c r="B317" s="85">
        <v>615</v>
      </c>
      <c r="C317" s="85" t="s">
        <v>38</v>
      </c>
      <c r="D317" s="227">
        <v>-36.093999999999994</v>
      </c>
      <c r="G317" s="62"/>
      <c r="H317" s="62"/>
      <c r="I317" s="62"/>
    </row>
    <row r="318" spans="1:9" ht="14.25" customHeight="1">
      <c r="A318" s="84">
        <v>315</v>
      </c>
      <c r="B318" s="85">
        <v>618</v>
      </c>
      <c r="C318" s="85" t="s">
        <v>38</v>
      </c>
      <c r="D318" s="227">
        <v>26.160075000000006</v>
      </c>
      <c r="G318" s="62"/>
      <c r="H318" s="62"/>
      <c r="I318" s="62"/>
    </row>
    <row r="319" spans="1:9" ht="14.25" customHeight="1">
      <c r="A319" s="82">
        <v>316</v>
      </c>
      <c r="B319" s="85">
        <v>621</v>
      </c>
      <c r="C319" s="85" t="s">
        <v>38</v>
      </c>
      <c r="D319" s="227">
        <v>125.16150000000002</v>
      </c>
      <c r="G319" s="62"/>
      <c r="H319" s="62"/>
      <c r="I319" s="62"/>
    </row>
    <row r="320" spans="1:9" ht="14.25" customHeight="1">
      <c r="A320" s="82">
        <v>317</v>
      </c>
      <c r="B320" s="85">
        <v>625</v>
      </c>
      <c r="C320" s="85" t="s">
        <v>38</v>
      </c>
      <c r="D320" s="227">
        <v>-87.656064999999899</v>
      </c>
      <c r="G320" s="62"/>
      <c r="H320" s="62"/>
      <c r="I320" s="62"/>
    </row>
    <row r="321" spans="1:9" ht="14.25" customHeight="1">
      <c r="A321" s="84">
        <v>318</v>
      </c>
      <c r="B321" s="85">
        <v>627</v>
      </c>
      <c r="C321" s="85" t="s">
        <v>38</v>
      </c>
      <c r="D321" s="227">
        <v>89.619399999999985</v>
      </c>
      <c r="G321" s="62"/>
      <c r="H321" s="62"/>
      <c r="I321" s="62"/>
    </row>
    <row r="322" spans="1:9" ht="14.25" customHeight="1">
      <c r="A322" s="84">
        <v>319</v>
      </c>
      <c r="B322" s="85">
        <v>629</v>
      </c>
      <c r="C322" s="85" t="s">
        <v>38</v>
      </c>
      <c r="D322" s="227">
        <v>131.51999999999998</v>
      </c>
      <c r="G322" s="62"/>
      <c r="H322" s="62"/>
      <c r="I322" s="62"/>
    </row>
    <row r="323" spans="1:9" ht="14.25" customHeight="1">
      <c r="A323" s="82">
        <v>320</v>
      </c>
      <c r="B323" s="85">
        <v>631</v>
      </c>
      <c r="C323" s="85" t="s">
        <v>38</v>
      </c>
      <c r="D323" s="227">
        <v>-7.5669000000000324</v>
      </c>
      <c r="G323" s="62"/>
      <c r="H323" s="62"/>
      <c r="I323" s="62"/>
    </row>
    <row r="324" spans="1:9" ht="14.25" customHeight="1">
      <c r="A324" s="82">
        <v>321</v>
      </c>
      <c r="B324" s="85">
        <v>632</v>
      </c>
      <c r="C324" s="85" t="s">
        <v>38</v>
      </c>
      <c r="D324" s="227">
        <v>-226.41567500000002</v>
      </c>
      <c r="G324" s="62"/>
      <c r="H324" s="62"/>
      <c r="I324" s="62"/>
    </row>
    <row r="325" spans="1:9" ht="14.25" customHeight="1">
      <c r="A325" s="84">
        <v>322</v>
      </c>
      <c r="B325" s="85">
        <v>647</v>
      </c>
      <c r="C325" s="85" t="s">
        <v>38</v>
      </c>
      <c r="D325" s="227">
        <v>-9.4000000000000057</v>
      </c>
      <c r="G325" s="62"/>
      <c r="H325" s="62"/>
      <c r="I325" s="62"/>
    </row>
    <row r="326" spans="1:9" ht="14.25" customHeight="1">
      <c r="A326" s="84">
        <v>323</v>
      </c>
      <c r="B326" s="85">
        <v>648</v>
      </c>
      <c r="C326" s="85" t="s">
        <v>38</v>
      </c>
      <c r="D326" s="227">
        <v>82.584899999999948</v>
      </c>
      <c r="G326" s="62"/>
      <c r="H326" s="62"/>
      <c r="I326" s="62"/>
    </row>
    <row r="327" spans="1:9" ht="14.25" customHeight="1">
      <c r="A327" s="82">
        <v>324</v>
      </c>
      <c r="B327" s="85">
        <v>649</v>
      </c>
      <c r="C327" s="85" t="s">
        <v>38</v>
      </c>
      <c r="D327" s="227">
        <v>410</v>
      </c>
      <c r="G327" s="62"/>
      <c r="H327" s="62"/>
      <c r="I327" s="62"/>
    </row>
    <row r="328" spans="1:9" ht="14.25" customHeight="1">
      <c r="A328" s="82">
        <v>325</v>
      </c>
      <c r="B328" s="85">
        <v>651</v>
      </c>
      <c r="C328" s="85" t="s">
        <v>38</v>
      </c>
      <c r="D328" s="227">
        <v>85.67999999999995</v>
      </c>
      <c r="G328" s="62"/>
      <c r="H328" s="62"/>
      <c r="I328" s="62"/>
    </row>
    <row r="329" spans="1:9" ht="14.25" customHeight="1">
      <c r="A329" s="84">
        <v>326</v>
      </c>
      <c r="B329" s="85">
        <v>652</v>
      </c>
      <c r="C329" s="85" t="s">
        <v>38</v>
      </c>
      <c r="D329" s="227">
        <v>110.75</v>
      </c>
      <c r="G329" s="62"/>
      <c r="H329" s="62"/>
      <c r="I329" s="62"/>
    </row>
    <row r="330" spans="1:9" ht="14.25" customHeight="1">
      <c r="A330" s="84">
        <v>327</v>
      </c>
      <c r="B330" s="85">
        <v>653</v>
      </c>
      <c r="C330" s="85" t="s">
        <v>38</v>
      </c>
      <c r="D330" s="227">
        <v>259.88649999999996</v>
      </c>
      <c r="G330" s="62"/>
      <c r="H330" s="62"/>
      <c r="I330" s="62"/>
    </row>
    <row r="331" spans="1:9" ht="14.25" customHeight="1">
      <c r="A331" s="82">
        <v>328</v>
      </c>
      <c r="B331" s="85">
        <v>654</v>
      </c>
      <c r="C331" s="85" t="s">
        <v>38</v>
      </c>
      <c r="D331" s="227">
        <v>-328.06459999999993</v>
      </c>
      <c r="G331" s="62"/>
      <c r="H331" s="62"/>
      <c r="I331" s="62"/>
    </row>
    <row r="332" spans="1:9" ht="14.25" customHeight="1">
      <c r="A332" s="82">
        <v>329</v>
      </c>
      <c r="B332" s="85">
        <v>655</v>
      </c>
      <c r="C332" s="85" t="s">
        <v>38</v>
      </c>
      <c r="D332" s="227">
        <v>-124.48124500000006</v>
      </c>
      <c r="G332" s="62"/>
      <c r="H332" s="62"/>
      <c r="I332" s="62"/>
    </row>
    <row r="333" spans="1:9" ht="14.25" customHeight="1">
      <c r="A333" s="84">
        <v>330</v>
      </c>
      <c r="B333" s="85">
        <v>660</v>
      </c>
      <c r="C333" s="85" t="s">
        <v>38</v>
      </c>
      <c r="D333" s="227">
        <v>-116.00000000000003</v>
      </c>
      <c r="G333" s="62"/>
      <c r="H333" s="62"/>
      <c r="I333" s="62"/>
    </row>
    <row r="334" spans="1:9" ht="14.25" customHeight="1">
      <c r="A334" s="84">
        <v>331</v>
      </c>
      <c r="B334" s="85">
        <v>664</v>
      </c>
      <c r="C334" s="85" t="s">
        <v>38</v>
      </c>
      <c r="D334" s="227">
        <v>-89</v>
      </c>
      <c r="G334" s="62"/>
      <c r="H334" s="62"/>
      <c r="I334" s="62"/>
    </row>
    <row r="335" spans="1:9" ht="14.25" customHeight="1">
      <c r="A335" s="82">
        <v>332</v>
      </c>
      <c r="B335" s="85">
        <v>668</v>
      </c>
      <c r="C335" s="85" t="s">
        <v>38</v>
      </c>
      <c r="D335" s="227">
        <v>-87.544800000000066</v>
      </c>
      <c r="G335" s="62"/>
      <c r="H335" s="62"/>
      <c r="I335" s="62"/>
    </row>
    <row r="336" spans="1:9" ht="14.25" customHeight="1">
      <c r="A336" s="82">
        <v>333</v>
      </c>
      <c r="B336" s="85">
        <v>682</v>
      </c>
      <c r="C336" s="85" t="s">
        <v>38</v>
      </c>
      <c r="D336" s="227">
        <v>92.269855999999976</v>
      </c>
      <c r="G336" s="62"/>
      <c r="H336" s="62"/>
      <c r="I336" s="62"/>
    </row>
    <row r="337" spans="1:9" ht="14.25" customHeight="1">
      <c r="A337" s="84">
        <v>334</v>
      </c>
      <c r="B337" s="85">
        <v>684</v>
      </c>
      <c r="C337" s="85" t="s">
        <v>38</v>
      </c>
      <c r="D337" s="227">
        <v>-225.16000000000003</v>
      </c>
      <c r="G337" s="62"/>
      <c r="H337" s="62"/>
      <c r="I337" s="62"/>
    </row>
    <row r="338" spans="1:9" ht="14.25" customHeight="1">
      <c r="A338" s="84">
        <v>335</v>
      </c>
      <c r="B338" s="85">
        <v>690</v>
      </c>
      <c r="C338" s="85" t="s">
        <v>38</v>
      </c>
      <c r="D338" s="227">
        <v>-280.8</v>
      </c>
      <c r="G338" s="62"/>
      <c r="H338" s="62"/>
      <c r="I338" s="62"/>
    </row>
    <row r="339" spans="1:9" ht="14.25" customHeight="1">
      <c r="A339" s="82">
        <v>336</v>
      </c>
      <c r="B339" s="85">
        <v>692</v>
      </c>
      <c r="C339" s="85" t="s">
        <v>38</v>
      </c>
      <c r="D339" s="227">
        <v>104.09971499999995</v>
      </c>
      <c r="G339" s="62"/>
      <c r="H339" s="62"/>
      <c r="I339" s="62"/>
    </row>
    <row r="340" spans="1:9" ht="14.25" customHeight="1">
      <c r="A340" s="82">
        <v>337</v>
      </c>
      <c r="B340" s="85">
        <v>693</v>
      </c>
      <c r="C340" s="85" t="s">
        <v>38</v>
      </c>
      <c r="D340" s="227">
        <v>28.810000000000059</v>
      </c>
      <c r="G340" s="62"/>
      <c r="H340" s="62"/>
      <c r="I340" s="62"/>
    </row>
    <row r="341" spans="1:9" ht="14.25" customHeight="1">
      <c r="A341" s="84">
        <v>338</v>
      </c>
      <c r="B341" s="85">
        <v>699</v>
      </c>
      <c r="C341" s="85" t="s">
        <v>38</v>
      </c>
      <c r="D341" s="227">
        <v>-74</v>
      </c>
      <c r="G341" s="62"/>
      <c r="H341" s="62"/>
      <c r="I341" s="62"/>
    </row>
    <row r="342" spans="1:9" ht="14.25" customHeight="1">
      <c r="A342" s="84">
        <v>339</v>
      </c>
      <c r="B342" s="85">
        <v>707</v>
      </c>
      <c r="C342" s="85" t="s">
        <v>38</v>
      </c>
      <c r="D342" s="227">
        <v>0.50253500000002305</v>
      </c>
      <c r="G342" s="62"/>
      <c r="H342" s="62"/>
      <c r="I342" s="62"/>
    </row>
    <row r="343" spans="1:9" ht="14.25" customHeight="1">
      <c r="A343" s="82">
        <v>340</v>
      </c>
      <c r="B343" s="85">
        <v>708</v>
      </c>
      <c r="C343" s="85" t="s">
        <v>38</v>
      </c>
      <c r="D343" s="227">
        <v>63.36497374999999</v>
      </c>
      <c r="G343" s="62"/>
      <c r="H343" s="62"/>
      <c r="I343" s="62"/>
    </row>
    <row r="344" spans="1:9" ht="14.25" customHeight="1">
      <c r="A344" s="82">
        <v>341</v>
      </c>
      <c r="B344" s="85">
        <v>709</v>
      </c>
      <c r="C344" s="85" t="s">
        <v>38</v>
      </c>
      <c r="D344" s="227">
        <v>532</v>
      </c>
      <c r="G344" s="62"/>
      <c r="H344" s="62"/>
      <c r="I344" s="62"/>
    </row>
    <row r="345" spans="1:9" ht="14.25" customHeight="1">
      <c r="A345" s="84">
        <v>342</v>
      </c>
      <c r="B345" s="85">
        <v>712</v>
      </c>
      <c r="C345" s="85" t="s">
        <v>38</v>
      </c>
      <c r="D345" s="227">
        <v>202.684</v>
      </c>
      <c r="G345" s="62"/>
      <c r="H345" s="62"/>
      <c r="I345" s="62"/>
    </row>
    <row r="346" spans="1:9" ht="14.25" customHeight="1">
      <c r="A346" s="84">
        <v>343</v>
      </c>
      <c r="B346" s="85">
        <v>713</v>
      </c>
      <c r="C346" s="85" t="s">
        <v>38</v>
      </c>
      <c r="D346" s="227">
        <v>317.65200000000004</v>
      </c>
      <c r="G346" s="62"/>
      <c r="H346" s="62"/>
      <c r="I346" s="62"/>
    </row>
    <row r="347" spans="1:9" ht="14.25" customHeight="1">
      <c r="A347" s="82">
        <v>344</v>
      </c>
      <c r="B347" s="85">
        <v>727</v>
      </c>
      <c r="C347" s="85" t="s">
        <v>38</v>
      </c>
      <c r="D347" s="227">
        <v>356.1</v>
      </c>
      <c r="G347" s="62"/>
      <c r="H347" s="62"/>
      <c r="I347" s="62"/>
    </row>
    <row r="348" spans="1:9" ht="14.25" customHeight="1">
      <c r="A348" s="82">
        <v>345</v>
      </c>
      <c r="B348" s="85">
        <v>728</v>
      </c>
      <c r="C348" s="85" t="s">
        <v>38</v>
      </c>
      <c r="D348" s="227">
        <v>41.321057999999994</v>
      </c>
      <c r="G348" s="62"/>
      <c r="H348" s="62"/>
      <c r="I348" s="62"/>
    </row>
    <row r="349" spans="1:9" ht="14.25" customHeight="1">
      <c r="A349" s="84">
        <v>346</v>
      </c>
      <c r="B349" s="85">
        <v>738</v>
      </c>
      <c r="C349" s="85" t="s">
        <v>38</v>
      </c>
      <c r="D349" s="227">
        <v>-393.5</v>
      </c>
      <c r="G349" s="62"/>
      <c r="H349" s="62"/>
      <c r="I349" s="62"/>
    </row>
    <row r="350" spans="1:9" ht="14.25" customHeight="1">
      <c r="A350" s="84">
        <v>347</v>
      </c>
      <c r="B350" s="85">
        <v>739</v>
      </c>
      <c r="C350" s="85" t="s">
        <v>38</v>
      </c>
      <c r="D350" s="227">
        <v>176.62970000000001</v>
      </c>
      <c r="G350" s="62"/>
      <c r="H350" s="62"/>
      <c r="I350" s="62"/>
    </row>
    <row r="351" spans="1:9" ht="14.25" customHeight="1">
      <c r="A351" s="82">
        <v>348</v>
      </c>
      <c r="B351" s="85">
        <v>740</v>
      </c>
      <c r="C351" s="85" t="s">
        <v>38</v>
      </c>
      <c r="D351" s="227">
        <v>31.560168000000004</v>
      </c>
      <c r="G351" s="62"/>
      <c r="H351" s="62"/>
      <c r="I351" s="62"/>
    </row>
    <row r="352" spans="1:9" ht="14.25" customHeight="1">
      <c r="A352" s="82">
        <v>349</v>
      </c>
      <c r="B352" s="85">
        <v>746</v>
      </c>
      <c r="C352" s="85" t="s">
        <v>38</v>
      </c>
      <c r="D352" s="227">
        <v>-32.927449999999965</v>
      </c>
      <c r="G352" s="62"/>
      <c r="H352" s="62"/>
      <c r="I352" s="62"/>
    </row>
    <row r="353" spans="1:9" ht="14.25" customHeight="1">
      <c r="A353" s="84">
        <v>350</v>
      </c>
      <c r="B353" s="85">
        <v>748</v>
      </c>
      <c r="C353" s="85" t="s">
        <v>38</v>
      </c>
      <c r="D353" s="227">
        <v>822</v>
      </c>
      <c r="G353" s="62"/>
      <c r="H353" s="62"/>
      <c r="I353" s="62"/>
    </row>
    <row r="354" spans="1:9" ht="14.25" customHeight="1">
      <c r="A354" s="84">
        <v>351</v>
      </c>
      <c r="B354" s="85">
        <v>750</v>
      </c>
      <c r="C354" s="85" t="s">
        <v>38</v>
      </c>
      <c r="D354" s="227">
        <v>-556.86200000000008</v>
      </c>
      <c r="G354" s="62"/>
      <c r="H354" s="62"/>
      <c r="I354" s="62"/>
    </row>
    <row r="355" spans="1:9" ht="14.25" customHeight="1">
      <c r="A355" s="82">
        <v>352</v>
      </c>
      <c r="B355" s="85">
        <v>753</v>
      </c>
      <c r="C355" s="85" t="s">
        <v>38</v>
      </c>
      <c r="D355" s="227">
        <v>-50.639999999999873</v>
      </c>
      <c r="G355" s="62"/>
      <c r="H355" s="62"/>
      <c r="I355" s="62"/>
    </row>
    <row r="356" spans="1:9" ht="14.25" customHeight="1">
      <c r="A356" s="82">
        <v>353</v>
      </c>
      <c r="B356" s="85">
        <v>758</v>
      </c>
      <c r="C356" s="85" t="s">
        <v>38</v>
      </c>
      <c r="D356" s="227">
        <v>125.435</v>
      </c>
      <c r="G356" s="62"/>
      <c r="H356" s="62"/>
      <c r="I356" s="62"/>
    </row>
    <row r="357" spans="1:9" ht="14.25" customHeight="1">
      <c r="A357" s="84">
        <v>354</v>
      </c>
      <c r="B357" s="85">
        <v>769</v>
      </c>
      <c r="C357" s="85" t="s">
        <v>38</v>
      </c>
      <c r="D357" s="227">
        <v>-42.183260000000018</v>
      </c>
      <c r="G357" s="62"/>
      <c r="H357" s="62"/>
      <c r="I357" s="62"/>
    </row>
    <row r="358" spans="1:9" ht="14.25" customHeight="1">
      <c r="A358" s="84">
        <v>355</v>
      </c>
      <c r="B358" s="85">
        <v>775</v>
      </c>
      <c r="C358" s="85" t="s">
        <v>38</v>
      </c>
      <c r="D358" s="227">
        <v>-1077.7220000000002</v>
      </c>
      <c r="G358" s="62"/>
      <c r="H358" s="62"/>
      <c r="I358" s="62"/>
    </row>
    <row r="359" spans="1:9" ht="14.25" customHeight="1">
      <c r="A359" s="82">
        <v>356</v>
      </c>
      <c r="B359" s="85">
        <v>781</v>
      </c>
      <c r="C359" s="85" t="s">
        <v>38</v>
      </c>
      <c r="D359" s="227">
        <v>-180.29719999999998</v>
      </c>
      <c r="G359" s="62"/>
      <c r="H359" s="62"/>
      <c r="I359" s="62"/>
    </row>
    <row r="360" spans="1:9" ht="14.25" customHeight="1">
      <c r="A360" s="82">
        <v>357</v>
      </c>
      <c r="B360" s="85">
        <v>782</v>
      </c>
      <c r="C360" s="85" t="s">
        <v>38</v>
      </c>
      <c r="D360" s="227">
        <v>-27.849999999999994</v>
      </c>
      <c r="G360" s="62"/>
      <c r="H360" s="62"/>
      <c r="I360" s="62"/>
    </row>
    <row r="361" spans="1:9" ht="14.25" customHeight="1">
      <c r="A361" s="84">
        <v>358</v>
      </c>
      <c r="B361" s="85">
        <v>783</v>
      </c>
      <c r="C361" s="85" t="s">
        <v>38</v>
      </c>
      <c r="D361" s="227">
        <v>-240.27908000000002</v>
      </c>
      <c r="G361" s="62"/>
      <c r="H361" s="62"/>
      <c r="I361" s="62"/>
    </row>
    <row r="362" spans="1:9" ht="14.25" customHeight="1">
      <c r="A362" s="84">
        <v>359</v>
      </c>
      <c r="B362" s="85">
        <v>816</v>
      </c>
      <c r="C362" s="85" t="s">
        <v>38</v>
      </c>
      <c r="D362" s="227">
        <v>294.51800000000003</v>
      </c>
      <c r="G362" s="62"/>
      <c r="H362" s="62"/>
      <c r="I362" s="62"/>
    </row>
    <row r="363" spans="1:9" ht="14.25" customHeight="1">
      <c r="A363" s="82">
        <v>360</v>
      </c>
      <c r="B363" s="85">
        <v>817</v>
      </c>
      <c r="C363" s="85" t="s">
        <v>38</v>
      </c>
      <c r="D363" s="227">
        <v>19.668000000000006</v>
      </c>
      <c r="G363" s="62"/>
      <c r="H363" s="62"/>
      <c r="I363" s="62"/>
    </row>
    <row r="364" spans="1:9" ht="14.25" customHeight="1">
      <c r="A364" s="82">
        <v>361</v>
      </c>
      <c r="B364" s="85">
        <v>818</v>
      </c>
      <c r="C364" s="85" t="s">
        <v>38</v>
      </c>
      <c r="D364" s="227">
        <v>-107.11000000000001</v>
      </c>
      <c r="G364" s="62"/>
      <c r="H364" s="62"/>
      <c r="I364" s="62"/>
    </row>
    <row r="365" spans="1:9" ht="14.25" customHeight="1">
      <c r="A365" s="84">
        <v>362</v>
      </c>
      <c r="B365" s="85">
        <v>826</v>
      </c>
      <c r="C365" s="85" t="s">
        <v>38</v>
      </c>
      <c r="D365" s="227">
        <v>-274.26226000000008</v>
      </c>
      <c r="G365" s="62"/>
      <c r="H365" s="62"/>
      <c r="I365" s="62"/>
    </row>
    <row r="366" spans="1:9" ht="14.25" customHeight="1">
      <c r="A366" s="84">
        <v>363</v>
      </c>
      <c r="B366" s="85">
        <v>828</v>
      </c>
      <c r="C366" s="85" t="s">
        <v>38</v>
      </c>
      <c r="D366" s="227">
        <v>-250.81200000000001</v>
      </c>
      <c r="G366" s="62"/>
      <c r="H366" s="62"/>
      <c r="I366" s="62"/>
    </row>
    <row r="367" spans="1:9" ht="14.25" customHeight="1">
      <c r="A367" s="82">
        <v>364</v>
      </c>
      <c r="B367" s="85">
        <v>829</v>
      </c>
      <c r="C367" s="85" t="s">
        <v>38</v>
      </c>
      <c r="D367" s="227">
        <v>106.596</v>
      </c>
      <c r="G367" s="62"/>
      <c r="H367" s="62"/>
      <c r="I367" s="62"/>
    </row>
    <row r="368" spans="1:9" ht="14.25" customHeight="1">
      <c r="A368" s="82">
        <v>365</v>
      </c>
      <c r="B368" s="85">
        <v>833</v>
      </c>
      <c r="C368" s="85" t="s">
        <v>38</v>
      </c>
      <c r="D368" s="227">
        <v>367.39800000000002</v>
      </c>
      <c r="G368" s="62"/>
      <c r="H368" s="62"/>
      <c r="I368" s="62"/>
    </row>
    <row r="369" spans="1:9" ht="14.25" customHeight="1">
      <c r="A369" s="84">
        <v>366</v>
      </c>
      <c r="B369" s="85">
        <v>838</v>
      </c>
      <c r="C369" s="85" t="s">
        <v>38</v>
      </c>
      <c r="D369" s="227">
        <v>-17.524999999999977</v>
      </c>
      <c r="G369" s="62"/>
      <c r="H369" s="62"/>
      <c r="I369" s="62"/>
    </row>
    <row r="370" spans="1:9" ht="14.25" customHeight="1">
      <c r="A370" s="84">
        <v>367</v>
      </c>
      <c r="B370" s="85">
        <v>841</v>
      </c>
      <c r="C370" s="85" t="s">
        <v>38</v>
      </c>
      <c r="D370" s="227">
        <v>155.96352999999993</v>
      </c>
      <c r="G370" s="62"/>
      <c r="H370" s="62"/>
      <c r="I370" s="62"/>
    </row>
    <row r="371" spans="1:9" ht="14.25" customHeight="1">
      <c r="A371" s="82">
        <v>368</v>
      </c>
      <c r="B371" s="85">
        <v>844</v>
      </c>
      <c r="C371" s="85" t="s">
        <v>38</v>
      </c>
      <c r="D371" s="227">
        <v>-270.27</v>
      </c>
      <c r="G371" s="62"/>
      <c r="H371" s="62"/>
      <c r="I371" s="62"/>
    </row>
    <row r="372" spans="1:9" ht="14.25" customHeight="1">
      <c r="A372" s="82">
        <v>369</v>
      </c>
      <c r="B372" s="85">
        <v>847</v>
      </c>
      <c r="C372" s="85" t="s">
        <v>38</v>
      </c>
      <c r="D372" s="227">
        <v>119.52799999999996</v>
      </c>
      <c r="G372" s="62"/>
      <c r="H372" s="62"/>
      <c r="I372" s="62"/>
    </row>
    <row r="373" spans="1:9" ht="14.25" customHeight="1">
      <c r="A373" s="84">
        <v>370</v>
      </c>
      <c r="B373" s="85">
        <v>848</v>
      </c>
      <c r="C373" s="85" t="s">
        <v>38</v>
      </c>
      <c r="D373" s="227">
        <v>-820.81999999999994</v>
      </c>
      <c r="G373" s="62"/>
      <c r="H373" s="62"/>
      <c r="I373" s="62"/>
    </row>
    <row r="374" spans="1:9" ht="14.25" customHeight="1">
      <c r="A374" s="84">
        <v>371</v>
      </c>
      <c r="B374" s="85">
        <v>849</v>
      </c>
      <c r="C374" s="85" t="s">
        <v>38</v>
      </c>
      <c r="D374" s="227">
        <v>193.70491250000003</v>
      </c>
      <c r="G374" s="62"/>
      <c r="H374" s="62"/>
      <c r="I374" s="62"/>
    </row>
    <row r="375" spans="1:9" ht="14.25" customHeight="1">
      <c r="A375" s="82">
        <v>372</v>
      </c>
      <c r="B375" s="85">
        <v>858</v>
      </c>
      <c r="C375" s="85" t="s">
        <v>38</v>
      </c>
      <c r="D375" s="227">
        <v>21.040000000000006</v>
      </c>
      <c r="G375" s="62"/>
      <c r="H375" s="62"/>
      <c r="I375" s="62"/>
    </row>
    <row r="376" spans="1:9" ht="14.25" customHeight="1">
      <c r="A376" s="82">
        <v>373</v>
      </c>
      <c r="B376" s="85">
        <v>862</v>
      </c>
      <c r="C376" s="85" t="s">
        <v>38</v>
      </c>
      <c r="D376" s="227">
        <v>45.661360000000002</v>
      </c>
      <c r="G376" s="62"/>
      <c r="H376" s="62"/>
      <c r="I376" s="62"/>
    </row>
    <row r="377" spans="1:9" ht="14.25" customHeight="1">
      <c r="A377" s="84">
        <v>374</v>
      </c>
      <c r="B377" s="85">
        <v>864</v>
      </c>
      <c r="C377" s="85" t="s">
        <v>38</v>
      </c>
      <c r="D377" s="227">
        <v>-251.20000000000002</v>
      </c>
      <c r="G377" s="62"/>
      <c r="H377" s="62"/>
      <c r="I377" s="62"/>
    </row>
    <row r="378" spans="1:9" ht="14.25" customHeight="1">
      <c r="A378" s="84">
        <v>375</v>
      </c>
      <c r="B378" s="85">
        <v>866</v>
      </c>
      <c r="C378" s="85" t="s">
        <v>38</v>
      </c>
      <c r="D378" s="227">
        <v>78.308800000000019</v>
      </c>
      <c r="G378" s="62"/>
      <c r="H378" s="62"/>
      <c r="I378" s="62"/>
    </row>
    <row r="379" spans="1:9" ht="14.25" customHeight="1">
      <c r="A379" s="82">
        <v>376</v>
      </c>
      <c r="B379" s="85">
        <v>870</v>
      </c>
      <c r="C379" s="85" t="s">
        <v>38</v>
      </c>
      <c r="D379" s="227">
        <v>-94</v>
      </c>
      <c r="G379" s="62"/>
      <c r="H379" s="62"/>
      <c r="I379" s="62"/>
    </row>
    <row r="380" spans="1:9" ht="14.25" customHeight="1">
      <c r="A380" s="82">
        <v>377</v>
      </c>
      <c r="B380" s="85">
        <v>871</v>
      </c>
      <c r="C380" s="85" t="s">
        <v>38</v>
      </c>
      <c r="D380" s="227">
        <v>-78.277580000000171</v>
      </c>
      <c r="G380" s="62"/>
      <c r="H380" s="62"/>
      <c r="I380" s="62"/>
    </row>
    <row r="381" spans="1:9" ht="14.25" customHeight="1">
      <c r="A381" s="84">
        <v>378</v>
      </c>
      <c r="B381" s="85">
        <v>873</v>
      </c>
      <c r="C381" s="85" t="s">
        <v>38</v>
      </c>
      <c r="D381" s="227">
        <v>-24.851499999999987</v>
      </c>
      <c r="G381" s="62"/>
      <c r="H381" s="62"/>
      <c r="I381" s="62"/>
    </row>
    <row r="382" spans="1:9" ht="14.25" customHeight="1">
      <c r="A382" s="84">
        <v>379</v>
      </c>
      <c r="B382" s="85">
        <v>875</v>
      </c>
      <c r="C382" s="85" t="s">
        <v>38</v>
      </c>
      <c r="D382" s="227">
        <v>-603.19999999999993</v>
      </c>
      <c r="G382" s="62"/>
      <c r="H382" s="62"/>
      <c r="I382" s="62"/>
    </row>
    <row r="383" spans="1:9" ht="14.25" customHeight="1">
      <c r="A383" s="82">
        <v>380</v>
      </c>
      <c r="B383" s="85">
        <v>876</v>
      </c>
      <c r="C383" s="85" t="s">
        <v>38</v>
      </c>
      <c r="D383" s="227">
        <v>-5.8827520000003233</v>
      </c>
      <c r="G383" s="62"/>
      <c r="H383" s="62"/>
      <c r="I383" s="62"/>
    </row>
    <row r="384" spans="1:9" ht="14.25" customHeight="1">
      <c r="A384" s="82">
        <v>381</v>
      </c>
      <c r="B384" s="85">
        <v>892</v>
      </c>
      <c r="C384" s="85" t="s">
        <v>38</v>
      </c>
      <c r="D384" s="227">
        <v>-1110.5999999999999</v>
      </c>
      <c r="G384" s="62"/>
      <c r="H384" s="62"/>
      <c r="I384" s="62"/>
    </row>
    <row r="385" spans="1:9" ht="14.25" customHeight="1">
      <c r="A385" s="84">
        <v>382</v>
      </c>
      <c r="B385" s="85">
        <v>893</v>
      </c>
      <c r="C385" s="85" t="s">
        <v>38</v>
      </c>
      <c r="D385" s="227">
        <v>-585.06000000000006</v>
      </c>
      <c r="G385" s="62"/>
      <c r="H385" s="62"/>
      <c r="I385" s="62"/>
    </row>
    <row r="386" spans="1:9" ht="14.25" customHeight="1">
      <c r="A386" s="84">
        <v>383</v>
      </c>
      <c r="B386" s="85">
        <v>894</v>
      </c>
      <c r="C386" s="85" t="s">
        <v>38</v>
      </c>
      <c r="D386" s="227">
        <v>189.27119999999999</v>
      </c>
      <c r="G386" s="62"/>
      <c r="H386" s="62"/>
      <c r="I386" s="62"/>
    </row>
    <row r="387" spans="1:9" ht="14.25" customHeight="1">
      <c r="A387" s="82">
        <v>384</v>
      </c>
      <c r="B387" s="85">
        <v>900</v>
      </c>
      <c r="C387" s="85" t="s">
        <v>38</v>
      </c>
      <c r="D387" s="227">
        <v>139.14679999999998</v>
      </c>
      <c r="G387" s="62"/>
      <c r="H387" s="62"/>
      <c r="I387" s="62"/>
    </row>
    <row r="388" spans="1:9" ht="14.25" customHeight="1">
      <c r="A388" s="82">
        <v>385</v>
      </c>
      <c r="B388" s="85">
        <v>906</v>
      </c>
      <c r="C388" s="85" t="s">
        <v>38</v>
      </c>
      <c r="D388" s="227">
        <v>-42</v>
      </c>
      <c r="G388" s="62"/>
      <c r="H388" s="62"/>
      <c r="I388" s="62"/>
    </row>
    <row r="389" spans="1:9" ht="14.25" customHeight="1">
      <c r="A389" s="84">
        <v>386</v>
      </c>
      <c r="B389" s="85">
        <v>908</v>
      </c>
      <c r="C389" s="85" t="s">
        <v>38</v>
      </c>
      <c r="D389" s="227">
        <v>-28.595199999999977</v>
      </c>
      <c r="G389" s="62"/>
      <c r="H389" s="62"/>
      <c r="I389" s="62"/>
    </row>
    <row r="390" spans="1:9" ht="14.25" customHeight="1">
      <c r="A390" s="84">
        <v>387</v>
      </c>
      <c r="B390" s="85">
        <v>909</v>
      </c>
      <c r="C390" s="85" t="s">
        <v>38</v>
      </c>
      <c r="D390" s="227">
        <v>30.64951750000003</v>
      </c>
      <c r="G390" s="62"/>
      <c r="H390" s="62"/>
      <c r="I390" s="62"/>
    </row>
    <row r="391" spans="1:9" ht="14.25" customHeight="1">
      <c r="A391" s="82">
        <v>388</v>
      </c>
      <c r="B391" s="85">
        <v>910</v>
      </c>
      <c r="C391" s="85" t="s">
        <v>38</v>
      </c>
      <c r="D391" s="227">
        <v>-192.17420000000004</v>
      </c>
      <c r="G391" s="62"/>
      <c r="H391" s="62"/>
      <c r="I391" s="62"/>
    </row>
    <row r="392" spans="1:9" ht="14.25" customHeight="1">
      <c r="A392" s="82">
        <v>389</v>
      </c>
      <c r="B392" s="85">
        <v>911</v>
      </c>
      <c r="C392" s="85" t="s">
        <v>38</v>
      </c>
      <c r="D392" s="227">
        <v>98.424939999999992</v>
      </c>
      <c r="G392" s="62"/>
      <c r="H392" s="62"/>
      <c r="I392" s="62"/>
    </row>
    <row r="393" spans="1:9" ht="14.25" customHeight="1">
      <c r="A393" s="84">
        <v>390</v>
      </c>
      <c r="B393" s="85">
        <v>912</v>
      </c>
      <c r="C393" s="85" t="s">
        <v>38</v>
      </c>
      <c r="D393" s="227">
        <v>173.24</v>
      </c>
      <c r="G393" s="62"/>
      <c r="H393" s="62"/>
      <c r="I393" s="62"/>
    </row>
    <row r="394" spans="1:9" ht="14.25" customHeight="1">
      <c r="A394" s="84">
        <v>391</v>
      </c>
      <c r="B394" s="85">
        <v>913</v>
      </c>
      <c r="C394" s="85" t="s">
        <v>38</v>
      </c>
      <c r="D394" s="227">
        <v>239.27999999999997</v>
      </c>
      <c r="G394" s="62"/>
      <c r="H394" s="62"/>
      <c r="I394" s="62"/>
    </row>
    <row r="395" spans="1:9" ht="14.25" customHeight="1">
      <c r="A395" s="82">
        <v>392</v>
      </c>
      <c r="B395" s="85">
        <v>914</v>
      </c>
      <c r="C395" s="85" t="s">
        <v>38</v>
      </c>
      <c r="D395" s="227">
        <v>-230</v>
      </c>
      <c r="G395" s="62"/>
      <c r="H395" s="62"/>
      <c r="I395" s="62"/>
    </row>
    <row r="396" spans="1:9" ht="14.25" customHeight="1">
      <c r="A396" s="82">
        <v>393</v>
      </c>
      <c r="B396" s="85">
        <v>920</v>
      </c>
      <c r="C396" s="85" t="s">
        <v>38</v>
      </c>
      <c r="D396" s="227">
        <v>275.52940000000001</v>
      </c>
      <c r="G396" s="62"/>
      <c r="H396" s="62"/>
      <c r="I396" s="62"/>
    </row>
    <row r="397" spans="1:9" ht="14.25" customHeight="1">
      <c r="A397" s="84">
        <v>394</v>
      </c>
      <c r="B397" s="85">
        <v>923</v>
      </c>
      <c r="C397" s="85" t="s">
        <v>38</v>
      </c>
      <c r="D397" s="227">
        <v>-1773.9260999999999</v>
      </c>
      <c r="G397" s="62"/>
      <c r="H397" s="62"/>
      <c r="I397" s="62"/>
    </row>
    <row r="398" spans="1:9" ht="14.25" customHeight="1">
      <c r="A398" s="84">
        <v>395</v>
      </c>
      <c r="B398" s="85">
        <v>928</v>
      </c>
      <c r="C398" s="85" t="s">
        <v>38</v>
      </c>
      <c r="D398" s="227">
        <v>-589.26892999999995</v>
      </c>
      <c r="G398" s="62"/>
      <c r="H398" s="62"/>
      <c r="I398" s="62"/>
    </row>
    <row r="399" spans="1:9" ht="14.25" customHeight="1">
      <c r="A399" s="82">
        <v>396</v>
      </c>
      <c r="B399" s="85">
        <v>931</v>
      </c>
      <c r="C399" s="85" t="s">
        <v>38</v>
      </c>
      <c r="D399" s="227">
        <v>30.052284999999983</v>
      </c>
      <c r="G399" s="62"/>
      <c r="H399" s="62"/>
      <c r="I399" s="62"/>
    </row>
    <row r="400" spans="1:9" ht="14.25" customHeight="1">
      <c r="A400" s="82">
        <v>397</v>
      </c>
      <c r="B400" s="85">
        <v>932</v>
      </c>
      <c r="C400" s="85" t="s">
        <v>38</v>
      </c>
      <c r="D400" s="227">
        <v>85.117374999999981</v>
      </c>
      <c r="G400" s="62"/>
      <c r="H400" s="62"/>
      <c r="I400" s="62"/>
    </row>
    <row r="401" spans="1:9" ht="14.25" customHeight="1">
      <c r="A401" s="84">
        <v>398</v>
      </c>
      <c r="B401" s="85">
        <v>936</v>
      </c>
      <c r="C401" s="85" t="s">
        <v>38</v>
      </c>
      <c r="D401" s="227">
        <v>359.9</v>
      </c>
      <c r="G401" s="62"/>
      <c r="H401" s="62"/>
      <c r="I401" s="62"/>
    </row>
    <row r="402" spans="1:9" ht="14.25" customHeight="1">
      <c r="A402" s="84">
        <v>399</v>
      </c>
      <c r="B402" s="85">
        <v>938</v>
      </c>
      <c r="C402" s="85" t="s">
        <v>38</v>
      </c>
      <c r="D402" s="227">
        <v>-133</v>
      </c>
      <c r="G402" s="62"/>
      <c r="H402" s="62"/>
      <c r="I402" s="62"/>
    </row>
    <row r="403" spans="1:9" ht="14.25" customHeight="1">
      <c r="A403" s="82">
        <v>400</v>
      </c>
      <c r="B403" s="85">
        <v>953</v>
      </c>
      <c r="C403" s="85" t="s">
        <v>38</v>
      </c>
      <c r="D403" s="227">
        <v>376.78399999999999</v>
      </c>
      <c r="G403" s="62"/>
      <c r="H403" s="62"/>
      <c r="I403" s="62"/>
    </row>
    <row r="404" spans="1:9" ht="14.25" customHeight="1">
      <c r="A404" s="82">
        <v>401</v>
      </c>
      <c r="B404" s="85">
        <v>955</v>
      </c>
      <c r="C404" s="85" t="s">
        <v>38</v>
      </c>
      <c r="D404" s="227">
        <v>102.89999999999998</v>
      </c>
      <c r="G404" s="62"/>
      <c r="H404" s="62"/>
      <c r="I404" s="62"/>
    </row>
    <row r="405" spans="1:9" ht="14.25" customHeight="1">
      <c r="A405" s="84">
        <v>402</v>
      </c>
      <c r="B405" s="85">
        <v>956</v>
      </c>
      <c r="C405" s="85" t="s">
        <v>38</v>
      </c>
      <c r="D405" s="227">
        <v>-235.49299999999999</v>
      </c>
      <c r="G405" s="62"/>
      <c r="H405" s="62"/>
      <c r="I405" s="62"/>
    </row>
    <row r="406" spans="1:9" ht="14.25" customHeight="1">
      <c r="A406" s="84">
        <v>403</v>
      </c>
      <c r="B406" s="85">
        <v>959</v>
      </c>
      <c r="C406" s="85" t="s">
        <v>38</v>
      </c>
      <c r="D406" s="227">
        <v>106.97000000000003</v>
      </c>
      <c r="G406" s="62"/>
      <c r="H406" s="62"/>
      <c r="I406" s="62"/>
    </row>
    <row r="407" spans="1:9" ht="14.25" customHeight="1">
      <c r="A407" s="82">
        <v>404</v>
      </c>
      <c r="B407" s="85">
        <v>961</v>
      </c>
      <c r="C407" s="85" t="s">
        <v>38</v>
      </c>
      <c r="D407" s="227">
        <v>451</v>
      </c>
      <c r="G407" s="62"/>
      <c r="H407" s="62"/>
      <c r="I407" s="62"/>
    </row>
    <row r="408" spans="1:9" ht="14.25" customHeight="1">
      <c r="A408" s="82">
        <v>405</v>
      </c>
      <c r="B408" s="85">
        <v>965</v>
      </c>
      <c r="C408" s="85" t="s">
        <v>38</v>
      </c>
      <c r="D408" s="227">
        <v>142.72</v>
      </c>
      <c r="G408" s="62"/>
      <c r="H408" s="62"/>
      <c r="I408" s="62"/>
    </row>
    <row r="409" spans="1:9" ht="14.25" customHeight="1">
      <c r="A409" s="84">
        <v>406</v>
      </c>
      <c r="B409" s="85">
        <v>966</v>
      </c>
      <c r="C409" s="85" t="s">
        <v>38</v>
      </c>
      <c r="D409" s="227">
        <v>126.55293499999999</v>
      </c>
      <c r="G409" s="62"/>
      <c r="H409" s="62"/>
      <c r="I409" s="62"/>
    </row>
    <row r="410" spans="1:9" ht="14.25" customHeight="1">
      <c r="A410" s="84">
        <v>407</v>
      </c>
      <c r="B410" s="85">
        <v>970</v>
      </c>
      <c r="C410" s="85" t="s">
        <v>38</v>
      </c>
      <c r="D410" s="227">
        <v>-52</v>
      </c>
      <c r="G410" s="62"/>
      <c r="H410" s="62"/>
      <c r="I410" s="62"/>
    </row>
    <row r="411" spans="1:9" ht="14.25" customHeight="1">
      <c r="A411" s="82">
        <v>408</v>
      </c>
      <c r="B411" s="85">
        <v>971</v>
      </c>
      <c r="C411" s="85" t="s">
        <v>38</v>
      </c>
      <c r="D411" s="227">
        <v>122.61500000000001</v>
      </c>
      <c r="G411" s="62"/>
      <c r="H411" s="62"/>
      <c r="I411" s="62"/>
    </row>
    <row r="412" spans="1:9" ht="14.25" customHeight="1">
      <c r="A412" s="82">
        <v>409</v>
      </c>
      <c r="B412" s="85">
        <v>974</v>
      </c>
      <c r="C412" s="85" t="s">
        <v>38</v>
      </c>
      <c r="D412" s="227">
        <v>-292.5</v>
      </c>
      <c r="G412" s="62"/>
      <c r="H412" s="62"/>
      <c r="I412" s="62"/>
    </row>
    <row r="413" spans="1:9" ht="14.25" customHeight="1">
      <c r="A413" s="84">
        <v>410</v>
      </c>
      <c r="B413" s="85">
        <v>986</v>
      </c>
      <c r="C413" s="85" t="s">
        <v>38</v>
      </c>
      <c r="D413" s="227">
        <v>104.16129999999998</v>
      </c>
      <c r="G413" s="62"/>
      <c r="H413" s="62"/>
      <c r="I413" s="62"/>
    </row>
    <row r="414" spans="1:9" ht="14.25" customHeight="1">
      <c r="A414" s="84">
        <v>411</v>
      </c>
      <c r="B414" s="85">
        <v>990</v>
      </c>
      <c r="C414" s="85" t="s">
        <v>38</v>
      </c>
      <c r="D414" s="227">
        <v>-501.8599999999999</v>
      </c>
      <c r="G414" s="62"/>
      <c r="H414" s="62"/>
      <c r="I414" s="62"/>
    </row>
    <row r="415" spans="1:9" ht="14.25" customHeight="1">
      <c r="A415" s="82">
        <v>412</v>
      </c>
      <c r="B415" s="85">
        <v>997</v>
      </c>
      <c r="C415" s="85" t="s">
        <v>38</v>
      </c>
      <c r="D415" s="227">
        <v>-347.05600000000004</v>
      </c>
      <c r="G415" s="62"/>
      <c r="H415" s="62"/>
      <c r="I415" s="62"/>
    </row>
    <row r="416" spans="1:9" ht="14.25" customHeight="1">
      <c r="A416" s="82">
        <v>413</v>
      </c>
      <c r="B416" s="85">
        <v>1015</v>
      </c>
      <c r="C416" s="85" t="s">
        <v>38</v>
      </c>
      <c r="D416" s="227">
        <v>81.278970000000072</v>
      </c>
      <c r="G416" s="62"/>
      <c r="H416" s="62"/>
      <c r="I416" s="62"/>
    </row>
    <row r="417" spans="1:9" ht="14.25" customHeight="1">
      <c r="A417" s="84">
        <v>414</v>
      </c>
      <c r="B417" s="85">
        <v>1016</v>
      </c>
      <c r="C417" s="85" t="s">
        <v>38</v>
      </c>
      <c r="D417" s="227">
        <v>-144.17476999999997</v>
      </c>
      <c r="G417" s="62"/>
      <c r="H417" s="62"/>
      <c r="I417" s="62"/>
    </row>
    <row r="418" spans="1:9" ht="14.25" customHeight="1">
      <c r="A418" s="84">
        <v>415</v>
      </c>
      <c r="B418" s="85">
        <v>1017</v>
      </c>
      <c r="C418" s="85" t="s">
        <v>38</v>
      </c>
      <c r="D418" s="227">
        <v>186.51999999999998</v>
      </c>
      <c r="G418" s="62"/>
      <c r="H418" s="62"/>
      <c r="I418" s="62"/>
    </row>
    <row r="419" spans="1:9" ht="14.25" customHeight="1">
      <c r="A419" s="82">
        <v>416</v>
      </c>
      <c r="B419" s="85">
        <v>1048</v>
      </c>
      <c r="C419" s="85" t="s">
        <v>38</v>
      </c>
      <c r="D419" s="227">
        <v>-64.603380000000016</v>
      </c>
      <c r="G419" s="62"/>
      <c r="H419" s="62"/>
      <c r="I419" s="62"/>
    </row>
    <row r="420" spans="1:9" ht="14.25" customHeight="1">
      <c r="A420" s="82">
        <v>417</v>
      </c>
      <c r="B420" s="85">
        <v>1049</v>
      </c>
      <c r="C420" s="85" t="s">
        <v>38</v>
      </c>
      <c r="D420" s="227">
        <v>109.99090000000001</v>
      </c>
      <c r="G420" s="62"/>
      <c r="H420" s="62"/>
      <c r="I420" s="62"/>
    </row>
    <row r="421" spans="1:9" ht="14.25" customHeight="1">
      <c r="A421" s="84">
        <v>418</v>
      </c>
      <c r="B421" s="85">
        <v>1054</v>
      </c>
      <c r="C421" s="85" t="s">
        <v>38</v>
      </c>
      <c r="D421" s="227">
        <v>326.05</v>
      </c>
      <c r="G421" s="62"/>
      <c r="H421" s="62"/>
      <c r="I421" s="62"/>
    </row>
    <row r="422" spans="1:9" ht="14.25" customHeight="1">
      <c r="A422" s="84">
        <v>419</v>
      </c>
      <c r="B422" s="85">
        <v>1056</v>
      </c>
      <c r="C422" s="85" t="s">
        <v>38</v>
      </c>
      <c r="D422" s="227">
        <v>-293.72799999999995</v>
      </c>
      <c r="G422" s="62"/>
      <c r="H422" s="62"/>
      <c r="I422" s="62"/>
    </row>
    <row r="423" spans="1:9" ht="14.25" customHeight="1">
      <c r="A423" s="82">
        <v>420</v>
      </c>
      <c r="B423" s="85">
        <v>1057</v>
      </c>
      <c r="C423" s="85" t="s">
        <v>38</v>
      </c>
      <c r="D423" s="227">
        <v>423.53499999999997</v>
      </c>
      <c r="G423" s="62"/>
      <c r="H423" s="62"/>
      <c r="I423" s="62"/>
    </row>
    <row r="424" spans="1:9" ht="14.25" customHeight="1">
      <c r="A424" s="82">
        <v>421</v>
      </c>
      <c r="B424" s="85">
        <v>1060</v>
      </c>
      <c r="C424" s="85" t="s">
        <v>38</v>
      </c>
      <c r="D424" s="227">
        <v>102.83999999999997</v>
      </c>
      <c r="G424" s="62"/>
      <c r="H424" s="62"/>
      <c r="I424" s="62"/>
    </row>
    <row r="425" spans="1:9" ht="14.25" customHeight="1">
      <c r="A425" s="84">
        <v>422</v>
      </c>
      <c r="B425" s="85">
        <v>1062</v>
      </c>
      <c r="C425" s="85" t="s">
        <v>38</v>
      </c>
      <c r="D425" s="227">
        <v>25.224000000000046</v>
      </c>
      <c r="G425" s="62"/>
      <c r="H425" s="62"/>
      <c r="I425" s="62"/>
    </row>
    <row r="426" spans="1:9" ht="14.25" customHeight="1">
      <c r="A426" s="84">
        <v>423</v>
      </c>
      <c r="B426" s="85">
        <v>1063</v>
      </c>
      <c r="C426" s="85" t="s">
        <v>38</v>
      </c>
      <c r="D426" s="227">
        <v>-553.21</v>
      </c>
      <c r="G426" s="62"/>
      <c r="H426" s="62"/>
      <c r="I426" s="62"/>
    </row>
    <row r="427" spans="1:9" ht="14.25" customHeight="1">
      <c r="A427" s="82">
        <v>424</v>
      </c>
      <c r="B427" s="85">
        <v>1067</v>
      </c>
      <c r="C427" s="85" t="s">
        <v>38</v>
      </c>
      <c r="D427" s="227">
        <v>158.47320000000002</v>
      </c>
      <c r="G427" s="62"/>
      <c r="H427" s="62"/>
      <c r="I427" s="62"/>
    </row>
    <row r="428" spans="1:9" ht="14.25" customHeight="1">
      <c r="A428" s="82">
        <v>425</v>
      </c>
      <c r="B428" s="85">
        <v>1068</v>
      </c>
      <c r="C428" s="85" t="s">
        <v>38</v>
      </c>
      <c r="D428" s="227">
        <v>-31.68060000000014</v>
      </c>
      <c r="G428" s="62"/>
      <c r="H428" s="62"/>
      <c r="I428" s="62"/>
    </row>
    <row r="429" spans="1:9" ht="14.25" customHeight="1">
      <c r="A429" s="84">
        <v>426</v>
      </c>
      <c r="B429" s="85">
        <v>1070</v>
      </c>
      <c r="C429" s="85" t="s">
        <v>38</v>
      </c>
      <c r="D429" s="227">
        <v>28.64</v>
      </c>
      <c r="G429" s="62"/>
      <c r="H429" s="62"/>
      <c r="I429" s="62"/>
    </row>
    <row r="430" spans="1:9" ht="14.25" customHeight="1">
      <c r="A430" s="84">
        <v>427</v>
      </c>
      <c r="B430" s="85">
        <v>1071</v>
      </c>
      <c r="C430" s="85" t="s">
        <v>38</v>
      </c>
      <c r="D430" s="227">
        <v>13.620215000000002</v>
      </c>
      <c r="G430" s="62"/>
      <c r="H430" s="62"/>
      <c r="I430" s="62"/>
    </row>
    <row r="431" spans="1:9" ht="14.25" customHeight="1">
      <c r="A431" s="82">
        <v>428</v>
      </c>
      <c r="B431" s="85">
        <v>1072</v>
      </c>
      <c r="C431" s="85" t="s">
        <v>38</v>
      </c>
      <c r="D431" s="227">
        <v>91.75</v>
      </c>
      <c r="G431" s="62"/>
      <c r="H431" s="62"/>
      <c r="I431" s="62"/>
    </row>
    <row r="432" spans="1:9" ht="14.25" customHeight="1">
      <c r="A432" s="82">
        <v>429</v>
      </c>
      <c r="B432" s="85">
        <v>1073</v>
      </c>
      <c r="C432" s="85" t="s">
        <v>38</v>
      </c>
      <c r="D432" s="227">
        <v>-111.63594499564999</v>
      </c>
      <c r="G432" s="62"/>
      <c r="H432" s="62"/>
      <c r="I432" s="62"/>
    </row>
    <row r="433" spans="1:9" ht="14.25" customHeight="1">
      <c r="A433" s="84">
        <v>430</v>
      </c>
      <c r="B433" s="85">
        <v>1074</v>
      </c>
      <c r="C433" s="85" t="s">
        <v>38</v>
      </c>
      <c r="D433" s="227">
        <v>76</v>
      </c>
      <c r="G433" s="62"/>
      <c r="H433" s="62"/>
      <c r="I433" s="62"/>
    </row>
    <row r="434" spans="1:9" ht="14.25" customHeight="1">
      <c r="A434" s="84">
        <v>431</v>
      </c>
      <c r="B434" s="85">
        <v>1075</v>
      </c>
      <c r="C434" s="85" t="s">
        <v>38</v>
      </c>
      <c r="D434" s="227">
        <v>-10.899999999999977</v>
      </c>
      <c r="G434" s="62"/>
      <c r="H434" s="62"/>
      <c r="I434" s="62"/>
    </row>
    <row r="435" spans="1:9" ht="14.25" customHeight="1">
      <c r="A435" s="82">
        <v>432</v>
      </c>
      <c r="B435" s="85">
        <v>1076</v>
      </c>
      <c r="C435" s="85" t="s">
        <v>38</v>
      </c>
      <c r="D435" s="227">
        <v>78.475652499999967</v>
      </c>
      <c r="G435" s="62"/>
      <c r="H435" s="62"/>
      <c r="I435" s="62"/>
    </row>
    <row r="436" spans="1:9" ht="14.25" customHeight="1">
      <c r="A436" s="82">
        <v>433</v>
      </c>
      <c r="B436" s="85">
        <v>1077</v>
      </c>
      <c r="C436" s="85" t="s">
        <v>38</v>
      </c>
      <c r="D436" s="227">
        <v>-55.920000000000016</v>
      </c>
      <c r="G436" s="62"/>
      <c r="H436" s="62"/>
      <c r="I436" s="62"/>
    </row>
    <row r="437" spans="1:9" ht="14.25" customHeight="1">
      <c r="A437" s="84">
        <v>434</v>
      </c>
      <c r="B437" s="85">
        <v>1080</v>
      </c>
      <c r="C437" s="85" t="s">
        <v>38</v>
      </c>
      <c r="D437" s="227">
        <v>74.933549999999997</v>
      </c>
      <c r="G437" s="62"/>
      <c r="H437" s="62"/>
      <c r="I437" s="62"/>
    </row>
    <row r="438" spans="1:9" ht="14.25" customHeight="1">
      <c r="A438" s="84">
        <v>435</v>
      </c>
      <c r="B438" s="85">
        <v>1083</v>
      </c>
      <c r="C438" s="85" t="s">
        <v>38</v>
      </c>
      <c r="D438" s="227">
        <v>671.75080000000003</v>
      </c>
      <c r="G438" s="62"/>
      <c r="H438" s="62"/>
      <c r="I438" s="62"/>
    </row>
    <row r="439" spans="1:9" ht="14.25" customHeight="1">
      <c r="A439" s="82">
        <v>436</v>
      </c>
      <c r="B439" s="85">
        <v>1084</v>
      </c>
      <c r="C439" s="85" t="s">
        <v>38</v>
      </c>
      <c r="D439" s="227">
        <v>176.620712</v>
      </c>
      <c r="G439" s="62"/>
      <c r="H439" s="62"/>
      <c r="I439" s="62"/>
    </row>
    <row r="440" spans="1:9" ht="14.25" customHeight="1">
      <c r="A440" s="82">
        <v>437</v>
      </c>
      <c r="B440" s="85">
        <v>1085</v>
      </c>
      <c r="C440" s="85" t="s">
        <v>38</v>
      </c>
      <c r="D440" s="227">
        <v>-53.945999999999913</v>
      </c>
      <c r="G440" s="62"/>
      <c r="H440" s="62"/>
      <c r="I440" s="62"/>
    </row>
    <row r="441" spans="1:9" ht="14.25" customHeight="1">
      <c r="A441" s="84">
        <v>438</v>
      </c>
      <c r="B441" s="85">
        <v>1086</v>
      </c>
      <c r="C441" s="85" t="s">
        <v>38</v>
      </c>
      <c r="D441" s="227">
        <v>-632.91</v>
      </c>
      <c r="G441" s="62"/>
      <c r="H441" s="62"/>
      <c r="I441" s="62"/>
    </row>
    <row r="442" spans="1:9" ht="14.25" customHeight="1">
      <c r="A442" s="84">
        <v>439</v>
      </c>
      <c r="B442" s="85">
        <v>1090</v>
      </c>
      <c r="C442" s="85" t="s">
        <v>38</v>
      </c>
      <c r="D442" s="227">
        <v>241.45613499999999</v>
      </c>
      <c r="G442" s="62"/>
      <c r="H442" s="62"/>
      <c r="I442" s="62"/>
    </row>
    <row r="443" spans="1:9" ht="14.25" customHeight="1">
      <c r="A443" s="82">
        <v>440</v>
      </c>
      <c r="B443" s="85">
        <v>1092</v>
      </c>
      <c r="C443" s="85" t="s">
        <v>38</v>
      </c>
      <c r="D443" s="227">
        <v>-380.99384375</v>
      </c>
      <c r="G443" s="62"/>
      <c r="H443" s="62"/>
      <c r="I443" s="62"/>
    </row>
    <row r="444" spans="1:9" ht="14.25" customHeight="1">
      <c r="A444" s="82">
        <v>441</v>
      </c>
      <c r="B444" s="85">
        <v>1093</v>
      </c>
      <c r="C444" s="85" t="s">
        <v>38</v>
      </c>
      <c r="D444" s="227">
        <v>34.599999999999994</v>
      </c>
      <c r="G444" s="62"/>
      <c r="H444" s="62"/>
      <c r="I444" s="62"/>
    </row>
    <row r="445" spans="1:9" ht="14.25" customHeight="1">
      <c r="A445" s="84">
        <v>442</v>
      </c>
      <c r="B445" s="85">
        <v>1095</v>
      </c>
      <c r="C445" s="85" t="s">
        <v>38</v>
      </c>
      <c r="D445" s="227">
        <v>77.355662499999994</v>
      </c>
      <c r="G445" s="62"/>
      <c r="H445" s="62"/>
      <c r="I445" s="62"/>
    </row>
    <row r="446" spans="1:9" ht="14.25" customHeight="1">
      <c r="A446" s="84">
        <v>443</v>
      </c>
      <c r="B446" s="85">
        <v>1096</v>
      </c>
      <c r="C446" s="85" t="s">
        <v>38</v>
      </c>
      <c r="D446" s="227">
        <v>104.925015</v>
      </c>
      <c r="G446" s="62"/>
      <c r="H446" s="62"/>
      <c r="I446" s="62"/>
    </row>
    <row r="447" spans="1:9" ht="14.25" customHeight="1">
      <c r="A447" s="82">
        <v>444</v>
      </c>
      <c r="B447" s="85">
        <v>1102</v>
      </c>
      <c r="C447" s="85" t="s">
        <v>38</v>
      </c>
      <c r="D447" s="227">
        <v>225.35399999999998</v>
      </c>
      <c r="G447" s="62"/>
      <c r="H447" s="62"/>
      <c r="I447" s="62"/>
    </row>
    <row r="448" spans="1:9" ht="14.25" customHeight="1">
      <c r="A448" s="82">
        <v>445</v>
      </c>
      <c r="B448" s="85">
        <v>1106</v>
      </c>
      <c r="C448" s="85" t="s">
        <v>38</v>
      </c>
      <c r="D448" s="227">
        <v>41.694500000000033</v>
      </c>
      <c r="G448" s="62"/>
      <c r="H448" s="62"/>
      <c r="I448" s="62"/>
    </row>
    <row r="449" spans="1:9" ht="14.25" customHeight="1">
      <c r="A449" s="84">
        <v>446</v>
      </c>
      <c r="B449" s="85">
        <v>1111</v>
      </c>
      <c r="C449" s="85" t="s">
        <v>38</v>
      </c>
      <c r="D449" s="227">
        <v>157.469052</v>
      </c>
      <c r="G449" s="62"/>
      <c r="H449" s="62"/>
      <c r="I449" s="62"/>
    </row>
    <row r="450" spans="1:9" ht="14.25" customHeight="1">
      <c r="A450" s="84">
        <v>447</v>
      </c>
      <c r="B450" s="85">
        <v>1113</v>
      </c>
      <c r="C450" s="85" t="s">
        <v>38</v>
      </c>
      <c r="D450" s="227">
        <v>179.3125</v>
      </c>
      <c r="G450" s="62"/>
      <c r="H450" s="62"/>
      <c r="I450" s="62"/>
    </row>
    <row r="451" spans="1:9" ht="14.25" customHeight="1">
      <c r="A451" s="82">
        <v>448</v>
      </c>
      <c r="B451" s="85">
        <v>1114</v>
      </c>
      <c r="C451" s="85" t="s">
        <v>38</v>
      </c>
      <c r="D451" s="227">
        <v>-100.1</v>
      </c>
      <c r="G451" s="62"/>
      <c r="H451" s="62"/>
      <c r="I451" s="62"/>
    </row>
    <row r="452" spans="1:9" ht="14.25" customHeight="1">
      <c r="A452" s="82">
        <v>449</v>
      </c>
      <c r="B452" s="85">
        <v>1120</v>
      </c>
      <c r="C452" s="85" t="s">
        <v>38</v>
      </c>
      <c r="D452" s="227">
        <v>95.5</v>
      </c>
      <c r="G452" s="62"/>
      <c r="H452" s="62"/>
      <c r="I452" s="62"/>
    </row>
    <row r="453" spans="1:9" ht="14.25" customHeight="1">
      <c r="A453" s="84">
        <v>450</v>
      </c>
      <c r="B453" s="85">
        <v>1124</v>
      </c>
      <c r="C453" s="85" t="s">
        <v>38</v>
      </c>
      <c r="D453" s="227">
        <v>60</v>
      </c>
      <c r="G453" s="62"/>
      <c r="H453" s="62"/>
      <c r="I453" s="62"/>
    </row>
    <row r="454" spans="1:9" ht="14.25" customHeight="1">
      <c r="A454" s="84">
        <v>451</v>
      </c>
      <c r="B454" s="85">
        <v>1127</v>
      </c>
      <c r="C454" s="85" t="s">
        <v>38</v>
      </c>
      <c r="D454" s="227">
        <v>253.27999999999997</v>
      </c>
      <c r="G454" s="62"/>
      <c r="H454" s="62"/>
      <c r="I454" s="62"/>
    </row>
    <row r="455" spans="1:9" ht="14.25" customHeight="1">
      <c r="A455" s="82">
        <v>452</v>
      </c>
      <c r="B455" s="85">
        <v>1128</v>
      </c>
      <c r="C455" s="85" t="s">
        <v>38</v>
      </c>
      <c r="D455" s="227">
        <v>137.72800000000001</v>
      </c>
      <c r="G455" s="62"/>
      <c r="H455" s="62"/>
      <c r="I455" s="62"/>
    </row>
    <row r="456" spans="1:9" ht="14.25" customHeight="1">
      <c r="A456" s="82">
        <v>453</v>
      </c>
      <c r="B456" s="85">
        <v>1129</v>
      </c>
      <c r="C456" s="85" t="s">
        <v>38</v>
      </c>
      <c r="D456" s="227">
        <v>-119.77886500000002</v>
      </c>
      <c r="G456" s="62"/>
      <c r="H456" s="62"/>
      <c r="I456" s="62"/>
    </row>
    <row r="457" spans="1:9" ht="14.25" customHeight="1">
      <c r="A457" s="84">
        <v>454</v>
      </c>
      <c r="B457" s="85">
        <v>1132</v>
      </c>
      <c r="C457" s="85" t="s">
        <v>38</v>
      </c>
      <c r="D457" s="227">
        <v>333.50319999999999</v>
      </c>
      <c r="G457" s="62"/>
      <c r="H457" s="62"/>
      <c r="I457" s="62"/>
    </row>
    <row r="458" spans="1:9" ht="14.25" customHeight="1">
      <c r="A458" s="84">
        <v>455</v>
      </c>
      <c r="B458" s="85">
        <v>1151</v>
      </c>
      <c r="C458" s="85" t="s">
        <v>38</v>
      </c>
      <c r="D458" s="227">
        <v>-2</v>
      </c>
      <c r="G458" s="62"/>
      <c r="H458" s="62"/>
      <c r="I458" s="62"/>
    </row>
    <row r="459" spans="1:9" ht="14.25" customHeight="1">
      <c r="A459" s="82">
        <v>456</v>
      </c>
      <c r="B459" s="85">
        <v>1153</v>
      </c>
      <c r="C459" s="85" t="s">
        <v>38</v>
      </c>
      <c r="D459" s="227">
        <v>-11.25</v>
      </c>
      <c r="G459" s="62"/>
      <c r="H459" s="62"/>
      <c r="I459" s="62"/>
    </row>
    <row r="460" spans="1:9" ht="14.25" customHeight="1">
      <c r="A460" s="82">
        <v>457</v>
      </c>
      <c r="B460" s="85">
        <v>1164</v>
      </c>
      <c r="C460" s="85" t="s">
        <v>38</v>
      </c>
      <c r="D460" s="227">
        <v>220</v>
      </c>
      <c r="G460" s="62"/>
      <c r="H460" s="62"/>
      <c r="I460" s="62"/>
    </row>
    <row r="461" spans="1:9" ht="14.25" customHeight="1">
      <c r="A461" s="84">
        <v>458</v>
      </c>
      <c r="B461" s="85">
        <v>1179</v>
      </c>
      <c r="C461" s="85" t="s">
        <v>38</v>
      </c>
      <c r="D461" s="227">
        <v>110.80000000000001</v>
      </c>
      <c r="G461" s="62"/>
      <c r="H461" s="62"/>
      <c r="I461" s="62"/>
    </row>
    <row r="462" spans="1:9" ht="14.25" customHeight="1">
      <c r="A462" s="84">
        <v>459</v>
      </c>
      <c r="B462" s="85">
        <v>1181</v>
      </c>
      <c r="C462" s="85" t="s">
        <v>38</v>
      </c>
      <c r="D462" s="227">
        <v>179.50226000000001</v>
      </c>
      <c r="G462" s="62"/>
      <c r="H462" s="62"/>
      <c r="I462" s="62"/>
    </row>
    <row r="463" spans="1:9" ht="14.25" customHeight="1">
      <c r="A463" s="82">
        <v>460</v>
      </c>
      <c r="B463" s="85">
        <v>1182</v>
      </c>
      <c r="C463" s="85" t="s">
        <v>38</v>
      </c>
      <c r="D463" s="227">
        <v>139.18600000000001</v>
      </c>
      <c r="G463" s="62"/>
      <c r="H463" s="62"/>
      <c r="I463" s="62"/>
    </row>
    <row r="464" spans="1:9" ht="14.25" customHeight="1">
      <c r="A464" s="82">
        <v>461</v>
      </c>
      <c r="B464" s="85">
        <v>1183</v>
      </c>
      <c r="C464" s="85" t="s">
        <v>38</v>
      </c>
      <c r="D464" s="227">
        <v>154.30000000000001</v>
      </c>
      <c r="G464" s="62"/>
      <c r="H464" s="62"/>
      <c r="I464" s="62"/>
    </row>
    <row r="465" spans="1:9" ht="14.25" customHeight="1">
      <c r="A465" s="84">
        <v>462</v>
      </c>
      <c r="B465" s="85">
        <v>1188</v>
      </c>
      <c r="C465" s="85" t="s">
        <v>38</v>
      </c>
      <c r="D465" s="227">
        <v>227.60144000000003</v>
      </c>
      <c r="G465" s="62"/>
      <c r="H465" s="62"/>
      <c r="I465" s="62"/>
    </row>
    <row r="466" spans="1:9" ht="14.25" customHeight="1">
      <c r="A466" s="84">
        <v>463</v>
      </c>
      <c r="B466" s="85">
        <v>1197</v>
      </c>
      <c r="C466" s="85" t="s">
        <v>38</v>
      </c>
      <c r="D466" s="227">
        <v>-418.35750000000002</v>
      </c>
      <c r="G466" s="62"/>
      <c r="H466" s="62"/>
      <c r="I466" s="62"/>
    </row>
    <row r="467" spans="1:9" ht="14.25" customHeight="1">
      <c r="A467" s="82">
        <v>464</v>
      </c>
      <c r="B467" s="85">
        <v>1207</v>
      </c>
      <c r="C467" s="85" t="s">
        <v>38</v>
      </c>
      <c r="D467" s="227">
        <v>157.94300000000001</v>
      </c>
      <c r="G467" s="62"/>
      <c r="H467" s="62"/>
      <c r="I467" s="62"/>
    </row>
    <row r="468" spans="1:9" ht="14.25" customHeight="1">
      <c r="A468" s="82">
        <v>465</v>
      </c>
      <c r="B468" s="85">
        <v>1216</v>
      </c>
      <c r="C468" s="85" t="s">
        <v>38</v>
      </c>
      <c r="D468" s="227">
        <v>-183.4</v>
      </c>
      <c r="G468" s="62"/>
      <c r="H468" s="62"/>
      <c r="I468" s="62"/>
    </row>
    <row r="469" spans="1:9" ht="14.25" customHeight="1">
      <c r="A469" s="84">
        <v>466</v>
      </c>
      <c r="B469" s="85">
        <v>1217</v>
      </c>
      <c r="C469" s="85" t="s">
        <v>38</v>
      </c>
      <c r="D469" s="227">
        <v>228.23551101999999</v>
      </c>
      <c r="G469" s="62"/>
      <c r="H469" s="62"/>
      <c r="I469" s="62"/>
    </row>
    <row r="470" spans="1:9" ht="14.25" customHeight="1">
      <c r="A470" s="84">
        <v>467</v>
      </c>
      <c r="B470" s="85">
        <v>1220</v>
      </c>
      <c r="C470" s="85" t="s">
        <v>38</v>
      </c>
      <c r="D470" s="227">
        <v>-187.78800000000001</v>
      </c>
      <c r="G470" s="62"/>
      <c r="H470" s="62"/>
      <c r="I470" s="62"/>
    </row>
    <row r="471" spans="1:9" ht="14.25" customHeight="1">
      <c r="A471" s="82">
        <v>468</v>
      </c>
      <c r="B471" s="85">
        <v>1239</v>
      </c>
      <c r="C471" s="85" t="s">
        <v>38</v>
      </c>
      <c r="D471" s="227">
        <v>-13.72399999999999</v>
      </c>
      <c r="G471" s="62"/>
      <c r="H471" s="62"/>
      <c r="I471" s="62"/>
    </row>
    <row r="472" spans="1:9" ht="14.25" customHeight="1">
      <c r="A472" s="82">
        <v>469</v>
      </c>
      <c r="B472" s="85">
        <v>1243</v>
      </c>
      <c r="C472" s="85" t="s">
        <v>38</v>
      </c>
      <c r="D472" s="227">
        <v>138</v>
      </c>
      <c r="G472" s="62"/>
      <c r="H472" s="62"/>
      <c r="I472" s="62"/>
    </row>
    <row r="473" spans="1:9" ht="14.25" customHeight="1">
      <c r="A473" s="84">
        <v>470</v>
      </c>
      <c r="B473" s="85">
        <v>1244</v>
      </c>
      <c r="C473" s="85" t="s">
        <v>38</v>
      </c>
      <c r="D473" s="227">
        <v>-362.15387499999997</v>
      </c>
      <c r="G473" s="62"/>
      <c r="H473" s="62"/>
      <c r="I473" s="62"/>
    </row>
    <row r="474" spans="1:9" ht="14.25" customHeight="1">
      <c r="A474" s="84">
        <v>471</v>
      </c>
      <c r="B474" s="85">
        <v>1256</v>
      </c>
      <c r="C474" s="85" t="s">
        <v>38</v>
      </c>
      <c r="D474" s="227">
        <v>50.720911020000017</v>
      </c>
      <c r="G474" s="62"/>
      <c r="H474" s="62"/>
      <c r="I474" s="62"/>
    </row>
    <row r="475" spans="1:9" ht="14.25" customHeight="1">
      <c r="A475" s="82">
        <v>472</v>
      </c>
      <c r="B475" s="85">
        <v>1266</v>
      </c>
      <c r="C475" s="85" t="s">
        <v>38</v>
      </c>
      <c r="D475" s="227">
        <v>-48.905999999999992</v>
      </c>
      <c r="G475" s="62"/>
      <c r="H475" s="62"/>
      <c r="I475" s="62"/>
    </row>
    <row r="476" spans="1:9" ht="14.25" customHeight="1">
      <c r="A476" s="82">
        <v>473</v>
      </c>
      <c r="B476" s="85">
        <v>1271</v>
      </c>
      <c r="C476" s="85" t="s">
        <v>38</v>
      </c>
      <c r="D476" s="227">
        <v>731.08</v>
      </c>
      <c r="G476" s="62"/>
      <c r="H476" s="62"/>
      <c r="I476" s="62"/>
    </row>
    <row r="477" spans="1:9" ht="14.25" customHeight="1">
      <c r="A477" s="84">
        <v>474</v>
      </c>
      <c r="B477" s="85">
        <v>1274</v>
      </c>
      <c r="C477" s="85" t="s">
        <v>38</v>
      </c>
      <c r="D477" s="227">
        <v>-89</v>
      </c>
      <c r="G477" s="62"/>
      <c r="H477" s="62"/>
      <c r="I477" s="62"/>
    </row>
    <row r="478" spans="1:9" ht="14.25" customHeight="1">
      <c r="A478" s="84">
        <v>475</v>
      </c>
      <c r="B478" s="85">
        <v>1282</v>
      </c>
      <c r="C478" s="85" t="s">
        <v>38</v>
      </c>
      <c r="D478" s="227">
        <v>41.900000000000006</v>
      </c>
      <c r="G478" s="62"/>
      <c r="H478" s="62"/>
      <c r="I478" s="62"/>
    </row>
    <row r="479" spans="1:9" ht="14.25" customHeight="1">
      <c r="A479" s="82">
        <v>476</v>
      </c>
      <c r="B479" s="85">
        <v>1284</v>
      </c>
      <c r="C479" s="85" t="s">
        <v>38</v>
      </c>
      <c r="D479" s="227">
        <v>64.3</v>
      </c>
      <c r="G479" s="62"/>
      <c r="H479" s="62"/>
      <c r="I479" s="62"/>
    </row>
    <row r="480" spans="1:9" ht="14.25" customHeight="1">
      <c r="A480" s="82">
        <v>477</v>
      </c>
      <c r="B480" s="85">
        <v>1285</v>
      </c>
      <c r="C480" s="85" t="s">
        <v>38</v>
      </c>
      <c r="D480" s="227">
        <v>38.700000000000003</v>
      </c>
      <c r="G480" s="62"/>
      <c r="H480" s="62"/>
      <c r="I480" s="62"/>
    </row>
    <row r="481" spans="1:9" ht="14.25" customHeight="1">
      <c r="A481" s="84">
        <v>478</v>
      </c>
      <c r="B481" s="85">
        <v>1286</v>
      </c>
      <c r="C481" s="85" t="s">
        <v>38</v>
      </c>
      <c r="D481" s="227">
        <v>40.700000000000003</v>
      </c>
      <c r="G481" s="62"/>
      <c r="H481" s="62"/>
      <c r="I481" s="62"/>
    </row>
    <row r="482" spans="1:9" ht="14.25" customHeight="1">
      <c r="A482" s="84">
        <v>479</v>
      </c>
      <c r="B482" s="85">
        <v>1288</v>
      </c>
      <c r="C482" s="85" t="s">
        <v>38</v>
      </c>
      <c r="D482" s="227">
        <v>192.57999999999998</v>
      </c>
      <c r="G482" s="62"/>
      <c r="H482" s="62"/>
      <c r="I482" s="62"/>
    </row>
    <row r="483" spans="1:9" ht="14.25" customHeight="1">
      <c r="A483" s="82">
        <v>480</v>
      </c>
      <c r="B483" s="85">
        <v>1291</v>
      </c>
      <c r="C483" s="85" t="s">
        <v>38</v>
      </c>
      <c r="D483" s="227">
        <v>-70.600000000000023</v>
      </c>
      <c r="G483" s="62"/>
      <c r="H483" s="62"/>
      <c r="I483" s="62"/>
    </row>
    <row r="484" spans="1:9" ht="14.25" customHeight="1">
      <c r="A484" s="82">
        <v>481</v>
      </c>
      <c r="B484" s="85">
        <v>1293</v>
      </c>
      <c r="C484" s="85" t="s">
        <v>38</v>
      </c>
      <c r="D484" s="227">
        <v>90.834999999999994</v>
      </c>
      <c r="G484" s="62"/>
      <c r="H484" s="62"/>
      <c r="I484" s="62"/>
    </row>
    <row r="485" spans="1:9" ht="14.25" customHeight="1">
      <c r="A485" s="84">
        <v>482</v>
      </c>
      <c r="B485" s="85">
        <v>1294</v>
      </c>
      <c r="C485" s="85" t="s">
        <v>38</v>
      </c>
      <c r="D485" s="227">
        <v>73.176000000000016</v>
      </c>
      <c r="G485" s="62"/>
      <c r="H485" s="62"/>
      <c r="I485" s="62"/>
    </row>
    <row r="486" spans="1:9" ht="14.25" customHeight="1">
      <c r="A486" s="84">
        <v>483</v>
      </c>
      <c r="B486" s="85">
        <v>1298</v>
      </c>
      <c r="C486" s="85" t="s">
        <v>38</v>
      </c>
      <c r="D486" s="227">
        <v>88.72</v>
      </c>
      <c r="G486" s="62"/>
      <c r="H486" s="62"/>
      <c r="I486" s="62"/>
    </row>
    <row r="487" spans="1:9" ht="14.25" customHeight="1">
      <c r="A487" s="82">
        <v>484</v>
      </c>
      <c r="B487" s="85">
        <v>1300</v>
      </c>
      <c r="C487" s="85" t="s">
        <v>38</v>
      </c>
      <c r="D487" s="227">
        <v>339.16307499999999</v>
      </c>
      <c r="G487" s="62"/>
      <c r="H487" s="62"/>
      <c r="I487" s="62"/>
    </row>
    <row r="488" spans="1:9" ht="14.25" customHeight="1">
      <c r="A488" s="82">
        <v>485</v>
      </c>
      <c r="B488" s="85">
        <v>1311</v>
      </c>
      <c r="C488" s="85" t="s">
        <v>38</v>
      </c>
      <c r="D488" s="227">
        <v>141.25</v>
      </c>
      <c r="G488" s="62"/>
      <c r="H488" s="62"/>
      <c r="I488" s="62"/>
    </row>
    <row r="489" spans="1:9" ht="14.25" customHeight="1">
      <c r="A489" s="84">
        <v>486</v>
      </c>
      <c r="B489" s="85">
        <v>1337</v>
      </c>
      <c r="C489" s="85" t="s">
        <v>38</v>
      </c>
      <c r="D489" s="227">
        <v>597.62</v>
      </c>
      <c r="G489" s="62"/>
      <c r="H489" s="62"/>
      <c r="I489" s="62"/>
    </row>
    <row r="490" spans="1:9" ht="14.25" customHeight="1">
      <c r="A490" s="84">
        <v>487</v>
      </c>
      <c r="B490" s="85">
        <v>1340</v>
      </c>
      <c r="C490" s="85" t="s">
        <v>38</v>
      </c>
      <c r="D490" s="227">
        <v>290</v>
      </c>
      <c r="G490" s="62"/>
      <c r="H490" s="62"/>
      <c r="I490" s="62"/>
    </row>
    <row r="491" spans="1:9" ht="14.25" customHeight="1">
      <c r="A491" s="82">
        <v>488</v>
      </c>
      <c r="B491" s="85">
        <v>1355</v>
      </c>
      <c r="C491" s="85" t="s">
        <v>38</v>
      </c>
      <c r="D491" s="227">
        <v>150</v>
      </c>
      <c r="G491" s="62"/>
      <c r="H491" s="62"/>
      <c r="I491" s="62"/>
    </row>
    <row r="492" spans="1:9" ht="14.25" customHeight="1">
      <c r="A492" s="82">
        <v>489</v>
      </c>
      <c r="B492" s="85">
        <v>1356</v>
      </c>
      <c r="C492" s="85" t="s">
        <v>38</v>
      </c>
      <c r="D492" s="227">
        <v>-116.21999999999997</v>
      </c>
      <c r="G492" s="62"/>
      <c r="H492" s="62"/>
      <c r="I492" s="62"/>
    </row>
    <row r="493" spans="1:9" ht="14.25" customHeight="1">
      <c r="A493" s="84">
        <v>490</v>
      </c>
      <c r="B493" s="85">
        <v>1358</v>
      </c>
      <c r="C493" s="85" t="s">
        <v>38</v>
      </c>
      <c r="D493" s="227">
        <v>15</v>
      </c>
      <c r="G493" s="62"/>
      <c r="H493" s="62"/>
      <c r="I493" s="62"/>
    </row>
    <row r="494" spans="1:9" ht="14.25" customHeight="1">
      <c r="A494" s="84">
        <v>491</v>
      </c>
      <c r="B494" s="85">
        <v>1383</v>
      </c>
      <c r="C494" s="85" t="s">
        <v>38</v>
      </c>
      <c r="D494" s="227">
        <v>47.8</v>
      </c>
      <c r="G494" s="62"/>
      <c r="H494" s="62"/>
      <c r="I494" s="62"/>
    </row>
    <row r="495" spans="1:9" ht="14.25" customHeight="1">
      <c r="A495" s="82">
        <v>492</v>
      </c>
      <c r="B495" s="85">
        <v>1386</v>
      </c>
      <c r="C495" s="85" t="s">
        <v>38</v>
      </c>
      <c r="D495" s="227">
        <v>125.2</v>
      </c>
      <c r="G495" s="62"/>
      <c r="H495" s="62"/>
      <c r="I495" s="62"/>
    </row>
    <row r="496" spans="1:9" ht="14.25" customHeight="1">
      <c r="A496" s="82">
        <v>493</v>
      </c>
      <c r="B496" s="85">
        <v>1400</v>
      </c>
      <c r="C496" s="85" t="s">
        <v>38</v>
      </c>
      <c r="D496" s="227">
        <v>88</v>
      </c>
      <c r="G496" s="62"/>
      <c r="H496" s="62"/>
      <c r="I496" s="62"/>
    </row>
    <row r="497" spans="1:9" ht="14.25" customHeight="1">
      <c r="A497" s="84">
        <v>494</v>
      </c>
      <c r="B497" s="85">
        <v>1407</v>
      </c>
      <c r="C497" s="85" t="s">
        <v>38</v>
      </c>
      <c r="D497" s="227">
        <v>-34</v>
      </c>
      <c r="G497" s="62"/>
      <c r="H497" s="62"/>
      <c r="I497" s="62"/>
    </row>
    <row r="498" spans="1:9" ht="14.25" customHeight="1">
      <c r="A498" s="84">
        <v>495</v>
      </c>
      <c r="B498" s="85">
        <v>1409</v>
      </c>
      <c r="C498" s="85" t="s">
        <v>38</v>
      </c>
      <c r="D498" s="227">
        <v>-36.515559999999994</v>
      </c>
      <c r="G498" s="62"/>
      <c r="H498" s="62"/>
      <c r="I498" s="62"/>
    </row>
    <row r="499" spans="1:9" ht="14.25" customHeight="1">
      <c r="A499" s="82">
        <v>496</v>
      </c>
      <c r="B499" s="85">
        <v>1410</v>
      </c>
      <c r="C499" s="85" t="s">
        <v>38</v>
      </c>
      <c r="D499" s="227">
        <v>-4.1220000000000141</v>
      </c>
      <c r="G499" s="62"/>
      <c r="H499" s="62"/>
      <c r="I499" s="62"/>
    </row>
    <row r="500" spans="1:9" ht="14.25" customHeight="1">
      <c r="A500" s="82">
        <v>497</v>
      </c>
      <c r="B500" s="85">
        <v>1417</v>
      </c>
      <c r="C500" s="85" t="s">
        <v>38</v>
      </c>
      <c r="D500" s="227">
        <v>110.2</v>
      </c>
      <c r="G500" s="62"/>
      <c r="H500" s="62"/>
      <c r="I500" s="62"/>
    </row>
    <row r="501" spans="1:9" ht="14.25" customHeight="1">
      <c r="A501" s="84">
        <v>498</v>
      </c>
      <c r="B501" s="85">
        <v>1420</v>
      </c>
      <c r="C501" s="85" t="s">
        <v>38</v>
      </c>
      <c r="D501" s="227">
        <v>215.2</v>
      </c>
      <c r="G501" s="62"/>
      <c r="H501" s="62"/>
      <c r="I501" s="62"/>
    </row>
    <row r="502" spans="1:9" ht="14.25" customHeight="1">
      <c r="A502" s="84">
        <v>499</v>
      </c>
      <c r="B502" s="85">
        <v>1426</v>
      </c>
      <c r="C502" s="85" t="s">
        <v>38</v>
      </c>
      <c r="D502" s="227">
        <v>-2.4369999999999976</v>
      </c>
      <c r="G502" s="62"/>
      <c r="H502" s="62"/>
      <c r="I502" s="62"/>
    </row>
    <row r="503" spans="1:9" ht="14.25" customHeight="1">
      <c r="A503" s="82">
        <v>500</v>
      </c>
      <c r="B503" s="85">
        <v>1433</v>
      </c>
      <c r="C503" s="85" t="s">
        <v>38</v>
      </c>
      <c r="D503" s="227">
        <v>1.6000000000000014</v>
      </c>
      <c r="G503" s="62"/>
      <c r="H503" s="62"/>
      <c r="I503" s="62"/>
    </row>
    <row r="504" spans="1:9" ht="14.25" customHeight="1">
      <c r="A504" s="82">
        <v>501</v>
      </c>
      <c r="B504" s="85">
        <v>1444</v>
      </c>
      <c r="C504" s="85" t="s">
        <v>38</v>
      </c>
      <c r="D504" s="227">
        <v>121.19999999999999</v>
      </c>
      <c r="G504" s="62"/>
      <c r="H504" s="62"/>
      <c r="I504" s="62"/>
    </row>
    <row r="505" spans="1:9" ht="14.25" customHeight="1">
      <c r="A505" s="84">
        <v>502</v>
      </c>
      <c r="B505" s="85">
        <v>1447</v>
      </c>
      <c r="C505" s="85" t="s">
        <v>38</v>
      </c>
      <c r="D505" s="227">
        <v>590.87</v>
      </c>
      <c r="G505" s="62"/>
      <c r="H505" s="62"/>
      <c r="I505" s="62"/>
    </row>
    <row r="506" spans="1:9" ht="14.25" customHeight="1">
      <c r="A506" s="84">
        <v>503</v>
      </c>
      <c r="B506" s="85">
        <v>1449</v>
      </c>
      <c r="C506" s="85" t="s">
        <v>38</v>
      </c>
      <c r="D506" s="227">
        <v>244</v>
      </c>
      <c r="G506" s="62"/>
      <c r="H506" s="62"/>
      <c r="I506" s="62"/>
    </row>
    <row r="507" spans="1:9" ht="14.25" customHeight="1">
      <c r="A507" s="82">
        <v>504</v>
      </c>
      <c r="B507" s="85">
        <v>1450</v>
      </c>
      <c r="C507" s="85" t="s">
        <v>38</v>
      </c>
      <c r="D507" s="227">
        <v>119.19999999999999</v>
      </c>
      <c r="G507" s="62"/>
      <c r="H507" s="62"/>
      <c r="I507" s="62"/>
    </row>
    <row r="508" spans="1:9" ht="14.25" customHeight="1">
      <c r="A508" s="82">
        <v>505</v>
      </c>
      <c r="B508" s="85">
        <v>1452</v>
      </c>
      <c r="C508" s="85" t="s">
        <v>38</v>
      </c>
      <c r="D508" s="227">
        <v>15.399999999999999</v>
      </c>
      <c r="G508" s="62"/>
      <c r="H508" s="62"/>
      <c r="I508" s="62"/>
    </row>
    <row r="509" spans="1:9" ht="14.25" customHeight="1">
      <c r="A509" s="84">
        <v>506</v>
      </c>
      <c r="B509" s="85">
        <v>1454</v>
      </c>
      <c r="C509" s="85" t="s">
        <v>38</v>
      </c>
      <c r="D509" s="227">
        <v>64</v>
      </c>
      <c r="G509" s="62"/>
      <c r="H509" s="62"/>
      <c r="I509" s="62"/>
    </row>
    <row r="510" spans="1:9" ht="14.25" customHeight="1">
      <c r="A510" s="84">
        <v>507</v>
      </c>
      <c r="B510" s="85">
        <v>1457</v>
      </c>
      <c r="C510" s="85" t="s">
        <v>38</v>
      </c>
      <c r="D510" s="227">
        <v>123.2</v>
      </c>
      <c r="G510" s="62"/>
      <c r="H510" s="62"/>
      <c r="I510" s="62"/>
    </row>
    <row r="511" spans="1:9" ht="14.25" customHeight="1">
      <c r="A511" s="82">
        <v>508</v>
      </c>
      <c r="B511" s="85">
        <v>1458</v>
      </c>
      <c r="C511" s="85" t="s">
        <v>38</v>
      </c>
      <c r="D511" s="227">
        <v>132</v>
      </c>
      <c r="G511" s="62"/>
      <c r="H511" s="62"/>
      <c r="I511" s="62"/>
    </row>
    <row r="512" spans="1:9" ht="14.25" customHeight="1">
      <c r="A512" s="82">
        <v>509</v>
      </c>
      <c r="B512" s="85">
        <v>1460</v>
      </c>
      <c r="C512" s="85" t="s">
        <v>38</v>
      </c>
      <c r="D512" s="227">
        <v>171.3</v>
      </c>
      <c r="G512" s="62"/>
      <c r="H512" s="62"/>
      <c r="I512" s="62"/>
    </row>
    <row r="513" spans="1:9" ht="14.25" customHeight="1">
      <c r="A513" s="84">
        <v>510</v>
      </c>
      <c r="B513" s="85">
        <v>1464</v>
      </c>
      <c r="C513" s="85" t="s">
        <v>38</v>
      </c>
      <c r="D513" s="227">
        <v>104</v>
      </c>
      <c r="G513" s="62"/>
      <c r="H513" s="62"/>
      <c r="I513" s="62"/>
    </row>
    <row r="514" spans="1:9" ht="14.25" customHeight="1">
      <c r="A514" s="84">
        <v>511</v>
      </c>
      <c r="B514" s="85">
        <v>1468</v>
      </c>
      <c r="C514" s="85" t="s">
        <v>38</v>
      </c>
      <c r="D514" s="227">
        <v>308.18399999999997</v>
      </c>
      <c r="G514" s="62"/>
      <c r="H514" s="62"/>
      <c r="I514" s="62"/>
    </row>
    <row r="515" spans="1:9" ht="14.25" customHeight="1">
      <c r="A515" s="82">
        <v>512</v>
      </c>
      <c r="B515" s="85">
        <v>1469</v>
      </c>
      <c r="C515" s="85" t="s">
        <v>38</v>
      </c>
      <c r="D515" s="227">
        <v>120</v>
      </c>
      <c r="G515" s="62"/>
      <c r="H515" s="62"/>
      <c r="I515" s="62"/>
    </row>
    <row r="516" spans="1:9" ht="14.25" customHeight="1">
      <c r="A516" s="82">
        <v>513</v>
      </c>
      <c r="B516" s="85">
        <v>1470</v>
      </c>
      <c r="C516" s="85" t="s">
        <v>38</v>
      </c>
      <c r="D516" s="227">
        <v>524.67999999999995</v>
      </c>
      <c r="G516" s="62"/>
      <c r="H516" s="62"/>
      <c r="I516" s="62"/>
    </row>
    <row r="517" spans="1:9" ht="14.25" customHeight="1">
      <c r="A517" s="84">
        <v>514</v>
      </c>
      <c r="B517" s="85">
        <v>1476</v>
      </c>
      <c r="C517" s="85" t="s">
        <v>38</v>
      </c>
      <c r="D517" s="227">
        <v>0</v>
      </c>
      <c r="G517" s="62"/>
      <c r="H517" s="62"/>
      <c r="I517" s="62"/>
    </row>
    <row r="518" spans="1:9" ht="14.25" customHeight="1">
      <c r="A518" s="84">
        <v>515</v>
      </c>
      <c r="B518" s="85">
        <v>1485</v>
      </c>
      <c r="C518" s="85" t="s">
        <v>38</v>
      </c>
      <c r="D518" s="227">
        <v>89.2</v>
      </c>
      <c r="G518" s="62"/>
      <c r="H518" s="62"/>
      <c r="I518" s="62"/>
    </row>
    <row r="519" spans="1:9" ht="14.25" customHeight="1">
      <c r="A519" s="82">
        <v>516</v>
      </c>
      <c r="B519" s="85">
        <v>1497</v>
      </c>
      <c r="C519" s="85" t="s">
        <v>38</v>
      </c>
      <c r="D519" s="227">
        <v>101.6</v>
      </c>
      <c r="G519" s="62"/>
      <c r="H519" s="62"/>
      <c r="I519" s="62"/>
    </row>
    <row r="520" spans="1:9" ht="14.25" customHeight="1">
      <c r="A520" s="82">
        <v>517</v>
      </c>
      <c r="B520" s="85">
        <v>1499</v>
      </c>
      <c r="C520" s="85" t="s">
        <v>38</v>
      </c>
      <c r="D520" s="227">
        <v>-24</v>
      </c>
      <c r="G520" s="62"/>
      <c r="H520" s="62"/>
      <c r="I520" s="62"/>
    </row>
    <row r="521" spans="1:9" ht="14.25" customHeight="1">
      <c r="A521" s="84">
        <v>518</v>
      </c>
      <c r="B521" s="85">
        <v>1500</v>
      </c>
      <c r="C521" s="85" t="s">
        <v>38</v>
      </c>
      <c r="D521" s="227">
        <v>-1296.8</v>
      </c>
      <c r="G521" s="62"/>
      <c r="H521" s="62"/>
      <c r="I521" s="62"/>
    </row>
    <row r="522" spans="1:9" ht="14.25" customHeight="1">
      <c r="A522" s="84">
        <v>519</v>
      </c>
      <c r="B522" s="85">
        <v>1502</v>
      </c>
      <c r="C522" s="85" t="s">
        <v>38</v>
      </c>
      <c r="D522" s="227">
        <v>138.88</v>
      </c>
      <c r="G522" s="62"/>
      <c r="H522" s="62"/>
      <c r="I522" s="62"/>
    </row>
    <row r="523" spans="1:9" ht="14.25" customHeight="1">
      <c r="A523" s="82">
        <v>520</v>
      </c>
      <c r="B523" s="85">
        <v>1504</v>
      </c>
      <c r="C523" s="85" t="s">
        <v>38</v>
      </c>
      <c r="D523" s="227">
        <v>-62.599999999999994</v>
      </c>
      <c r="G523" s="62"/>
      <c r="H523" s="62"/>
      <c r="I523" s="62"/>
    </row>
    <row r="524" spans="1:9" ht="14.25" customHeight="1">
      <c r="A524" s="82">
        <v>521</v>
      </c>
      <c r="B524" s="85">
        <v>1507</v>
      </c>
      <c r="C524" s="85" t="s">
        <v>38</v>
      </c>
      <c r="D524" s="227">
        <v>17.599999999999994</v>
      </c>
      <c r="G524" s="62"/>
      <c r="H524" s="62"/>
      <c r="I524" s="62"/>
    </row>
    <row r="525" spans="1:9" ht="14.25" customHeight="1">
      <c r="A525" s="84">
        <v>522</v>
      </c>
      <c r="B525" s="85">
        <v>1525</v>
      </c>
      <c r="C525" s="85" t="s">
        <v>38</v>
      </c>
      <c r="D525" s="227">
        <v>242</v>
      </c>
      <c r="G525" s="62"/>
      <c r="H525" s="62"/>
      <c r="I525" s="62"/>
    </row>
    <row r="526" spans="1:9" ht="14.25" customHeight="1">
      <c r="A526" s="84">
        <v>523</v>
      </c>
      <c r="B526" s="55">
        <v>1528</v>
      </c>
      <c r="C526" s="85" t="s">
        <v>38</v>
      </c>
      <c r="D526" s="227">
        <v>27</v>
      </c>
      <c r="G526" s="62"/>
      <c r="H526" s="62"/>
      <c r="I526" s="62"/>
    </row>
    <row r="527" spans="1:9" ht="14.25" customHeight="1">
      <c r="A527" s="82">
        <v>524</v>
      </c>
      <c r="B527" s="55">
        <v>1533</v>
      </c>
      <c r="C527" s="85" t="s">
        <v>38</v>
      </c>
      <c r="D527" s="227">
        <v>110</v>
      </c>
      <c r="G527" s="62"/>
      <c r="H527" s="62"/>
      <c r="I527" s="62"/>
    </row>
    <row r="528" spans="1:9" ht="14.25" customHeight="1">
      <c r="A528" s="82">
        <v>525</v>
      </c>
      <c r="B528" s="55">
        <v>1534</v>
      </c>
      <c r="C528" s="85" t="s">
        <v>38</v>
      </c>
      <c r="D528" s="227">
        <v>-4</v>
      </c>
      <c r="G528" s="62"/>
      <c r="H528" s="62"/>
      <c r="I528" s="62"/>
    </row>
    <row r="529" spans="1:9" ht="14.25" customHeight="1">
      <c r="A529" s="82">
        <v>526</v>
      </c>
      <c r="B529" s="55">
        <v>1539</v>
      </c>
      <c r="C529" s="55" t="s">
        <v>38</v>
      </c>
      <c r="D529" s="227">
        <v>86</v>
      </c>
      <c r="G529" s="62"/>
      <c r="H529" s="62"/>
      <c r="I529" s="62"/>
    </row>
    <row r="530" spans="1:9" ht="14.25" customHeight="1">
      <c r="A530" s="84">
        <v>527</v>
      </c>
      <c r="B530" s="55">
        <v>1546</v>
      </c>
      <c r="C530" s="55" t="s">
        <v>38</v>
      </c>
      <c r="D530" s="227">
        <v>376.976</v>
      </c>
      <c r="G530" s="62"/>
      <c r="H530" s="62"/>
      <c r="I530" s="62"/>
    </row>
    <row r="531" spans="1:9" ht="14.25" customHeight="1">
      <c r="A531" s="84">
        <v>528</v>
      </c>
      <c r="B531" s="55">
        <v>1558</v>
      </c>
      <c r="C531" s="55" t="s">
        <v>38</v>
      </c>
      <c r="D531" s="227">
        <v>-50</v>
      </c>
      <c r="G531" s="62"/>
      <c r="H531" s="62"/>
      <c r="I531" s="62"/>
    </row>
    <row r="532" spans="1:9" ht="14.25" customHeight="1">
      <c r="A532" s="82">
        <v>529</v>
      </c>
      <c r="B532" s="55">
        <v>1561</v>
      </c>
      <c r="C532" s="55" t="s">
        <v>38</v>
      </c>
      <c r="D532" s="227">
        <v>-107.12</v>
      </c>
      <c r="G532" s="62"/>
      <c r="H532" s="62"/>
      <c r="I532" s="62"/>
    </row>
    <row r="533" spans="1:9" ht="14.25" customHeight="1">
      <c r="A533" s="82">
        <v>530</v>
      </c>
      <c r="B533" s="55">
        <v>1581</v>
      </c>
      <c r="C533" s="55" t="s">
        <v>38</v>
      </c>
      <c r="D533" s="227">
        <v>8</v>
      </c>
      <c r="G533" s="62"/>
      <c r="H533" s="62"/>
      <c r="I533" s="62"/>
    </row>
    <row r="534" spans="1:9" ht="14.25" customHeight="1">
      <c r="A534" s="84">
        <v>531</v>
      </c>
      <c r="B534" s="55">
        <v>1583</v>
      </c>
      <c r="C534" s="55" t="s">
        <v>38</v>
      </c>
      <c r="D534" s="227">
        <v>470</v>
      </c>
      <c r="G534" s="62"/>
      <c r="H534" s="62"/>
      <c r="I534" s="62"/>
    </row>
    <row r="535" spans="1:9" ht="14.25" customHeight="1">
      <c r="A535" s="84">
        <v>532</v>
      </c>
      <c r="B535" s="55">
        <v>1588</v>
      </c>
      <c r="C535" s="55" t="s">
        <v>38</v>
      </c>
      <c r="D535" s="227">
        <v>-156</v>
      </c>
      <c r="G535" s="62"/>
      <c r="H535" s="62"/>
      <c r="I535" s="62"/>
    </row>
    <row r="536" spans="1:9" ht="14.25" customHeight="1">
      <c r="A536" s="82">
        <v>533</v>
      </c>
      <c r="B536" s="55">
        <v>1599</v>
      </c>
      <c r="C536" s="55" t="s">
        <v>38</v>
      </c>
      <c r="D536" s="227">
        <v>686.74</v>
      </c>
      <c r="G536" s="62"/>
      <c r="H536" s="62"/>
      <c r="I536" s="62"/>
    </row>
    <row r="537" spans="1:9" ht="14.25" customHeight="1">
      <c r="A537" s="82">
        <v>534</v>
      </c>
      <c r="B537" s="55">
        <v>1600</v>
      </c>
      <c r="C537" s="55" t="s">
        <v>38</v>
      </c>
      <c r="D537" s="227">
        <v>-172</v>
      </c>
      <c r="G537" s="62"/>
      <c r="H537" s="62"/>
      <c r="I537" s="62"/>
    </row>
    <row r="538" spans="1:9" ht="14.25" customHeight="1">
      <c r="A538" s="84">
        <v>535</v>
      </c>
      <c r="B538" s="55">
        <v>1601</v>
      </c>
      <c r="C538" s="55" t="s">
        <v>38</v>
      </c>
      <c r="D538" s="227">
        <v>10.399999999999999</v>
      </c>
      <c r="G538" s="62"/>
      <c r="H538" s="62"/>
      <c r="I538" s="62"/>
    </row>
    <row r="539" spans="1:9" ht="14.25" customHeight="1">
      <c r="A539" s="84">
        <v>536</v>
      </c>
      <c r="B539" s="55">
        <v>1619</v>
      </c>
      <c r="C539" s="55" t="s">
        <v>38</v>
      </c>
      <c r="D539" s="227">
        <v>473.6</v>
      </c>
      <c r="G539" s="62"/>
      <c r="H539" s="62"/>
      <c r="I539" s="62"/>
    </row>
    <row r="540" spans="1:9" ht="14.25" customHeight="1">
      <c r="A540" s="82">
        <v>537</v>
      </c>
      <c r="B540" s="55">
        <v>1627</v>
      </c>
      <c r="C540" s="55" t="s">
        <v>38</v>
      </c>
      <c r="D540" s="227">
        <v>-130</v>
      </c>
      <c r="G540" s="62"/>
      <c r="H540" s="62"/>
      <c r="I540" s="62"/>
    </row>
    <row r="541" spans="1:9" ht="14.25" customHeight="1">
      <c r="A541" s="82">
        <v>538</v>
      </c>
      <c r="B541" s="55">
        <v>1631</v>
      </c>
      <c r="C541" s="55" t="s">
        <v>38</v>
      </c>
      <c r="D541" s="227">
        <v>1290</v>
      </c>
      <c r="G541" s="62"/>
      <c r="H541" s="62"/>
      <c r="I541" s="62"/>
    </row>
    <row r="542" spans="1:9" ht="14.25" customHeight="1">
      <c r="A542" s="84">
        <v>539</v>
      </c>
      <c r="B542" s="55">
        <v>1633</v>
      </c>
      <c r="C542" s="55" t="s">
        <v>38</v>
      </c>
      <c r="D542" s="227">
        <v>530</v>
      </c>
      <c r="G542" s="62"/>
      <c r="H542" s="62"/>
      <c r="I542" s="62"/>
    </row>
    <row r="543" spans="1:9" ht="14.25" customHeight="1">
      <c r="A543" s="84">
        <v>540</v>
      </c>
      <c r="B543" s="55">
        <v>1638</v>
      </c>
      <c r="C543" s="55" t="s">
        <v>38</v>
      </c>
      <c r="D543" s="227">
        <v>50</v>
      </c>
      <c r="G543" s="62"/>
      <c r="H543" s="62"/>
      <c r="I543" s="62"/>
    </row>
    <row r="544" spans="1:9" ht="14.25" customHeight="1">
      <c r="A544" s="82">
        <v>541</v>
      </c>
      <c r="B544" s="55">
        <v>1648</v>
      </c>
      <c r="C544" s="55" t="s">
        <v>38</v>
      </c>
      <c r="D544" s="227">
        <v>-32</v>
      </c>
      <c r="G544" s="62"/>
      <c r="H544" s="62"/>
      <c r="I544" s="62"/>
    </row>
    <row r="545" spans="1:9" ht="14.25" customHeight="1">
      <c r="A545" s="82">
        <v>542</v>
      </c>
      <c r="B545" s="55">
        <v>1649</v>
      </c>
      <c r="C545" s="55" t="s">
        <v>38</v>
      </c>
      <c r="D545" s="227">
        <v>200</v>
      </c>
      <c r="G545" s="62"/>
      <c r="H545" s="62"/>
      <c r="I545" s="62"/>
    </row>
    <row r="546" spans="1:9" ht="14.25" customHeight="1">
      <c r="A546" s="84">
        <v>543</v>
      </c>
      <c r="B546" s="55">
        <v>1658</v>
      </c>
      <c r="C546" s="55" t="s">
        <v>38</v>
      </c>
      <c r="D546" s="227">
        <v>1370</v>
      </c>
      <c r="G546" s="62"/>
      <c r="H546" s="62"/>
      <c r="I546" s="62"/>
    </row>
    <row r="547" spans="1:9" ht="14.25" customHeight="1">
      <c r="A547" s="84">
        <v>544</v>
      </c>
      <c r="B547" s="55">
        <v>1676</v>
      </c>
      <c r="C547" s="55" t="s">
        <v>38</v>
      </c>
      <c r="D547" s="227">
        <v>11.949999999999989</v>
      </c>
      <c r="G547" s="62"/>
      <c r="H547" s="62"/>
      <c r="I547" s="62"/>
    </row>
    <row r="548" spans="1:9" ht="14.25" customHeight="1">
      <c r="A548" s="82">
        <v>545</v>
      </c>
      <c r="B548" s="55">
        <v>1687</v>
      </c>
      <c r="C548" s="55" t="s">
        <v>38</v>
      </c>
      <c r="D548" s="227">
        <v>1400</v>
      </c>
      <c r="G548" s="62"/>
      <c r="H548" s="62"/>
      <c r="I548" s="62"/>
    </row>
    <row r="549" spans="1:9" ht="14.25" customHeight="1">
      <c r="A549" s="82">
        <v>546</v>
      </c>
      <c r="B549" s="55">
        <v>1688</v>
      </c>
      <c r="C549" s="55" t="s">
        <v>38</v>
      </c>
      <c r="D549" s="227">
        <v>222</v>
      </c>
      <c r="G549" s="62"/>
      <c r="H549" s="62"/>
      <c r="I549" s="62"/>
    </row>
    <row r="550" spans="1:9" ht="14.25" customHeight="1">
      <c r="A550" s="84">
        <v>547</v>
      </c>
      <c r="B550" s="55">
        <v>1693</v>
      </c>
      <c r="C550" s="55" t="s">
        <v>38</v>
      </c>
      <c r="D550" s="227">
        <v>-168</v>
      </c>
      <c r="G550" s="62"/>
      <c r="H550" s="62"/>
      <c r="I550" s="62"/>
    </row>
    <row r="551" spans="1:9" ht="14.25" customHeight="1">
      <c r="A551" s="84">
        <v>548</v>
      </c>
      <c r="B551" s="55">
        <v>1695</v>
      </c>
      <c r="C551" s="55" t="s">
        <v>38</v>
      </c>
      <c r="D551" s="227">
        <v>260</v>
      </c>
      <c r="G551" s="62"/>
      <c r="H551" s="62"/>
      <c r="I551" s="62"/>
    </row>
    <row r="552" spans="1:9" ht="14.25" customHeight="1">
      <c r="A552" s="82">
        <v>549</v>
      </c>
      <c r="B552" s="55">
        <v>1696</v>
      </c>
      <c r="C552" s="55" t="s">
        <v>38</v>
      </c>
      <c r="D552" s="227">
        <v>296</v>
      </c>
      <c r="G552" s="62"/>
      <c r="H552" s="62"/>
      <c r="I552" s="62"/>
    </row>
    <row r="553" spans="1:9" ht="14.25" customHeight="1">
      <c r="A553" s="82">
        <v>550</v>
      </c>
      <c r="B553" s="55">
        <v>1701</v>
      </c>
      <c r="C553" s="55" t="s">
        <v>38</v>
      </c>
      <c r="D553" s="227">
        <v>785</v>
      </c>
      <c r="G553" s="62"/>
      <c r="H553" s="62"/>
      <c r="I553" s="62"/>
    </row>
    <row r="554" spans="1:9" ht="14.25" customHeight="1">
      <c r="A554" s="84">
        <v>551</v>
      </c>
      <c r="B554" s="55">
        <v>1705</v>
      </c>
      <c r="C554" s="55" t="s">
        <v>38</v>
      </c>
      <c r="D554" s="227">
        <v>-70</v>
      </c>
      <c r="G554" s="62"/>
      <c r="H554" s="62"/>
      <c r="I554" s="62"/>
    </row>
    <row r="555" spans="1:9" ht="14.25" customHeight="1">
      <c r="A555" s="84">
        <v>552</v>
      </c>
      <c r="B555" s="55">
        <v>1714</v>
      </c>
      <c r="C555" s="55" t="s">
        <v>38</v>
      </c>
      <c r="D555" s="227">
        <v>432</v>
      </c>
      <c r="G555" s="62"/>
      <c r="H555" s="62"/>
      <c r="I555" s="62"/>
    </row>
    <row r="556" spans="1:9" ht="14.25" customHeight="1">
      <c r="A556" s="82">
        <v>553</v>
      </c>
      <c r="B556" s="55">
        <v>1716</v>
      </c>
      <c r="C556" s="85" t="s">
        <v>38</v>
      </c>
      <c r="D556" s="227">
        <v>50</v>
      </c>
      <c r="G556" s="62"/>
      <c r="H556" s="62"/>
      <c r="I556" s="62"/>
    </row>
    <row r="557" spans="1:9" ht="14.25" customHeight="1">
      <c r="A557" s="82">
        <v>554</v>
      </c>
      <c r="B557" s="55">
        <v>1723</v>
      </c>
      <c r="C557" s="55" t="s">
        <v>38</v>
      </c>
      <c r="D557" s="227">
        <v>-335.4</v>
      </c>
      <c r="G557" s="62"/>
      <c r="H557" s="62"/>
      <c r="I557" s="62"/>
    </row>
    <row r="558" spans="1:9" ht="14.25" customHeight="1">
      <c r="A558" s="84">
        <v>555</v>
      </c>
      <c r="B558" s="55">
        <v>1726</v>
      </c>
      <c r="C558" s="55" t="s">
        <v>38</v>
      </c>
      <c r="D558" s="227">
        <v>330</v>
      </c>
      <c r="G558" s="62"/>
      <c r="H558" s="62"/>
      <c r="I558" s="62"/>
    </row>
    <row r="559" spans="1:9" ht="14.25" customHeight="1">
      <c r="A559" s="84">
        <v>556</v>
      </c>
      <c r="B559" s="55">
        <v>1728</v>
      </c>
      <c r="C559" s="55" t="s">
        <v>38</v>
      </c>
      <c r="D559" s="228">
        <v>30</v>
      </c>
      <c r="G559" s="62"/>
      <c r="H559" s="62"/>
      <c r="I559" s="62"/>
    </row>
    <row r="560" spans="1:9" ht="14.25" customHeight="1">
      <c r="A560" s="82">
        <v>557</v>
      </c>
      <c r="B560" s="55">
        <v>1731</v>
      </c>
      <c r="C560" s="55" t="s">
        <v>38</v>
      </c>
      <c r="D560" s="227">
        <v>643.4</v>
      </c>
      <c r="G560" s="62"/>
      <c r="H560" s="62"/>
      <c r="I560" s="62"/>
    </row>
    <row r="561" spans="1:9" ht="14.25" customHeight="1">
      <c r="A561" s="82">
        <v>558</v>
      </c>
      <c r="B561" s="55">
        <v>1741</v>
      </c>
      <c r="C561" s="55" t="s">
        <v>38</v>
      </c>
      <c r="D561" s="227">
        <v>323</v>
      </c>
      <c r="G561" s="62"/>
      <c r="H561" s="62"/>
      <c r="I561" s="62"/>
    </row>
    <row r="562" spans="1:9" ht="14.25" customHeight="1">
      <c r="A562" s="84">
        <v>559</v>
      </c>
      <c r="B562" s="55">
        <v>1744</v>
      </c>
      <c r="C562" s="55" t="s">
        <v>38</v>
      </c>
      <c r="D562" s="227">
        <v>459</v>
      </c>
      <c r="G562" s="62"/>
      <c r="H562" s="62"/>
      <c r="I562" s="62"/>
    </row>
    <row r="563" spans="1:9" ht="14.25" customHeight="1">
      <c r="A563" s="84">
        <v>560</v>
      </c>
      <c r="B563" s="85">
        <v>1756</v>
      </c>
      <c r="C563" s="85" t="s">
        <v>38</v>
      </c>
      <c r="D563" s="227">
        <v>25</v>
      </c>
      <c r="G563" s="62"/>
      <c r="H563" s="62"/>
      <c r="I563" s="62"/>
    </row>
    <row r="564" spans="1:9" ht="14.25" customHeight="1">
      <c r="A564" s="82">
        <v>561</v>
      </c>
      <c r="B564" s="55">
        <v>1758</v>
      </c>
      <c r="C564" s="55" t="s">
        <v>38</v>
      </c>
      <c r="D564" s="227">
        <v>86.899999999999949</v>
      </c>
      <c r="G564" s="62"/>
      <c r="H564" s="62"/>
      <c r="I564" s="62"/>
    </row>
    <row r="565" spans="1:9" ht="14.25" customHeight="1">
      <c r="A565" s="82">
        <v>562</v>
      </c>
      <c r="B565" s="55">
        <v>1771</v>
      </c>
      <c r="C565" s="55" t="s">
        <v>38</v>
      </c>
      <c r="D565" s="227">
        <v>341</v>
      </c>
      <c r="G565" s="62"/>
      <c r="H565" s="62"/>
      <c r="I565" s="62"/>
    </row>
    <row r="566" spans="1:9" ht="14.25" customHeight="1">
      <c r="A566" s="84">
        <v>563</v>
      </c>
      <c r="B566" s="55">
        <v>1782</v>
      </c>
      <c r="C566" s="55" t="s">
        <v>38</v>
      </c>
      <c r="D566" s="227">
        <v>-794</v>
      </c>
      <c r="G566" s="62"/>
      <c r="H566" s="62"/>
      <c r="I566" s="62"/>
    </row>
    <row r="567" spans="1:9" ht="14.25" customHeight="1">
      <c r="A567" s="84">
        <v>564</v>
      </c>
      <c r="B567" s="55">
        <v>1797</v>
      </c>
      <c r="C567" s="55" t="s">
        <v>38</v>
      </c>
      <c r="D567" s="227">
        <v>-583.74</v>
      </c>
      <c r="G567" s="62"/>
      <c r="H567" s="62"/>
      <c r="I567" s="62"/>
    </row>
    <row r="568" spans="1:9" ht="14.25" customHeight="1">
      <c r="A568" s="82">
        <v>565</v>
      </c>
      <c r="B568" s="55">
        <v>1798</v>
      </c>
      <c r="C568" s="55" t="s">
        <v>38</v>
      </c>
      <c r="D568" s="227">
        <v>31.299999999999955</v>
      </c>
      <c r="G568" s="62"/>
      <c r="H568" s="62"/>
      <c r="I568" s="62"/>
    </row>
    <row r="569" spans="1:9" ht="14.25" customHeight="1">
      <c r="A569" s="82">
        <v>566</v>
      </c>
      <c r="B569" s="55">
        <v>1799</v>
      </c>
      <c r="C569" s="55" t="s">
        <v>38</v>
      </c>
      <c r="D569" s="227">
        <v>-757</v>
      </c>
      <c r="G569" s="62"/>
      <c r="H569" s="62"/>
      <c r="I569" s="62"/>
    </row>
    <row r="570" spans="1:9" ht="14.25" customHeight="1">
      <c r="A570" s="84">
        <v>567</v>
      </c>
      <c r="B570" s="55">
        <v>1801</v>
      </c>
      <c r="C570" s="55" t="s">
        <v>38</v>
      </c>
      <c r="D570" s="227">
        <v>-426</v>
      </c>
      <c r="G570" s="62"/>
      <c r="H570" s="62"/>
      <c r="I570" s="62"/>
    </row>
    <row r="571" spans="1:9" ht="14.25" customHeight="1">
      <c r="A571" s="84">
        <v>568</v>
      </c>
      <c r="B571" s="55">
        <v>1809</v>
      </c>
      <c r="C571" s="55" t="s">
        <v>38</v>
      </c>
      <c r="D571" s="227">
        <v>8</v>
      </c>
      <c r="G571" s="62"/>
      <c r="H571" s="62"/>
      <c r="I571" s="62"/>
    </row>
    <row r="572" spans="1:9" ht="14.25" customHeight="1">
      <c r="A572" s="82">
        <v>569</v>
      </c>
      <c r="B572" s="55">
        <v>1811</v>
      </c>
      <c r="C572" s="55" t="s">
        <v>38</v>
      </c>
      <c r="D572" s="227">
        <v>-10</v>
      </c>
      <c r="G572" s="62"/>
      <c r="H572" s="62"/>
      <c r="I572" s="62"/>
    </row>
    <row r="573" spans="1:9" ht="14.25" customHeight="1">
      <c r="A573" s="82">
        <v>570</v>
      </c>
      <c r="B573" s="55">
        <v>1812</v>
      </c>
      <c r="C573" s="55" t="s">
        <v>38</v>
      </c>
      <c r="D573" s="227">
        <v>10</v>
      </c>
      <c r="G573" s="62"/>
      <c r="H573" s="62"/>
      <c r="I573" s="62"/>
    </row>
    <row r="574" spans="1:9" ht="14.25" customHeight="1">
      <c r="A574" s="84">
        <v>571</v>
      </c>
      <c r="B574" s="55">
        <v>1813</v>
      </c>
      <c r="C574" s="55" t="s">
        <v>38</v>
      </c>
      <c r="D574" s="227">
        <v>23</v>
      </c>
      <c r="G574" s="62"/>
      <c r="H574" s="62"/>
      <c r="I574" s="62"/>
    </row>
    <row r="575" spans="1:9" ht="14.25" customHeight="1">
      <c r="A575" s="84">
        <v>572</v>
      </c>
      <c r="B575" s="55">
        <v>1822</v>
      </c>
      <c r="C575" s="55" t="s">
        <v>38</v>
      </c>
      <c r="D575" s="227">
        <v>313.10000000000002</v>
      </c>
      <c r="G575" s="62"/>
      <c r="H575" s="62"/>
      <c r="I575" s="62"/>
    </row>
    <row r="576" spans="1:9" ht="14.25" customHeight="1">
      <c r="A576" s="84">
        <v>573</v>
      </c>
      <c r="B576" s="55">
        <v>1824</v>
      </c>
      <c r="C576" s="55" t="s">
        <v>38</v>
      </c>
      <c r="D576" s="227">
        <v>-1060</v>
      </c>
      <c r="G576" s="62"/>
      <c r="H576" s="62"/>
      <c r="I576" s="62"/>
    </row>
    <row r="577" spans="1:9" ht="14.25" customHeight="1">
      <c r="A577" s="82">
        <v>574</v>
      </c>
      <c r="B577" s="55">
        <v>1827</v>
      </c>
      <c r="C577" s="55" t="s">
        <v>38</v>
      </c>
      <c r="D577" s="227">
        <v>184</v>
      </c>
      <c r="G577" s="62"/>
      <c r="H577" s="62"/>
      <c r="I577" s="62"/>
    </row>
    <row r="578" spans="1:9" ht="14.25" customHeight="1">
      <c r="A578" s="82">
        <v>575</v>
      </c>
      <c r="B578" s="55">
        <v>1847</v>
      </c>
      <c r="C578" s="55" t="s">
        <v>38</v>
      </c>
      <c r="D578" s="227">
        <v>-10</v>
      </c>
      <c r="G578" s="62"/>
      <c r="H578" s="62"/>
      <c r="I578" s="62"/>
    </row>
    <row r="579" spans="1:9" ht="14.25" customHeight="1">
      <c r="A579" s="84">
        <v>576</v>
      </c>
      <c r="B579" s="55">
        <v>1856</v>
      </c>
      <c r="C579" s="55" t="s">
        <v>38</v>
      </c>
      <c r="D579" s="227">
        <v>441.76000000000005</v>
      </c>
      <c r="G579" s="62"/>
      <c r="H579" s="62"/>
      <c r="I579" s="62"/>
    </row>
    <row r="580" spans="1:9" ht="14.25" customHeight="1">
      <c r="A580" s="84">
        <v>577</v>
      </c>
      <c r="B580" s="55">
        <v>1863</v>
      </c>
      <c r="C580" s="55" t="s">
        <v>38</v>
      </c>
      <c r="D580" s="227">
        <v>-3</v>
      </c>
      <c r="G580" s="62"/>
      <c r="H580" s="62"/>
      <c r="I580" s="62"/>
    </row>
    <row r="581" spans="1:9" ht="14.25" customHeight="1">
      <c r="A581" s="82">
        <v>578</v>
      </c>
      <c r="B581" s="55">
        <v>1867</v>
      </c>
      <c r="C581" s="55" t="s">
        <v>38</v>
      </c>
      <c r="D581" s="227">
        <v>-22</v>
      </c>
      <c r="G581" s="62"/>
      <c r="H581" s="62"/>
      <c r="I581" s="62"/>
    </row>
    <row r="582" spans="1:9" ht="14.25" customHeight="1">
      <c r="A582" s="82">
        <v>579</v>
      </c>
      <c r="B582" s="55">
        <v>1885</v>
      </c>
      <c r="C582" s="55" t="s">
        <v>38</v>
      </c>
      <c r="D582" s="227">
        <v>587.5</v>
      </c>
      <c r="G582" s="62"/>
      <c r="H582" s="62"/>
      <c r="I582" s="62"/>
    </row>
    <row r="583" spans="1:9" ht="14.25" customHeight="1">
      <c r="A583" s="84">
        <v>580</v>
      </c>
      <c r="B583" s="55">
        <v>1894</v>
      </c>
      <c r="C583" s="55" t="s">
        <v>38</v>
      </c>
      <c r="D583" s="227">
        <v>-105</v>
      </c>
      <c r="G583" s="62"/>
      <c r="H583" s="62"/>
      <c r="I583" s="62"/>
    </row>
    <row r="584" spans="1:9" ht="14.25" customHeight="1">
      <c r="A584" s="84">
        <v>581</v>
      </c>
      <c r="B584" s="55">
        <v>1904</v>
      </c>
      <c r="C584" s="55" t="s">
        <v>38</v>
      </c>
      <c r="D584" s="227">
        <v>-899.8</v>
      </c>
      <c r="G584" s="62"/>
      <c r="H584" s="62"/>
      <c r="I584" s="62"/>
    </row>
    <row r="585" spans="1:9" ht="14.25" customHeight="1">
      <c r="A585" s="82">
        <v>582</v>
      </c>
      <c r="B585" s="55">
        <v>1917</v>
      </c>
      <c r="C585" s="55" t="s">
        <v>38</v>
      </c>
      <c r="D585" s="227">
        <v>-504.11</v>
      </c>
      <c r="G585" s="62"/>
      <c r="H585" s="62"/>
      <c r="I585" s="62"/>
    </row>
    <row r="586" spans="1:9" ht="14.25" customHeight="1">
      <c r="A586" s="82">
        <v>583</v>
      </c>
      <c r="B586" s="55">
        <v>1922</v>
      </c>
      <c r="C586" s="55" t="s">
        <v>38</v>
      </c>
      <c r="D586" s="227">
        <v>919</v>
      </c>
      <c r="G586" s="62"/>
      <c r="H586" s="62"/>
      <c r="I586" s="62"/>
    </row>
    <row r="587" spans="1:9" ht="14.25" customHeight="1">
      <c r="A587" s="84">
        <v>584</v>
      </c>
      <c r="B587" s="55">
        <v>1926</v>
      </c>
      <c r="C587" s="55" t="s">
        <v>38</v>
      </c>
      <c r="D587" s="227">
        <v>-283.88</v>
      </c>
      <c r="G587" s="62"/>
      <c r="H587" s="62"/>
      <c r="I587" s="62"/>
    </row>
    <row r="588" spans="1:9" ht="14.25" customHeight="1">
      <c r="A588" s="84">
        <v>585</v>
      </c>
      <c r="B588" s="55">
        <v>1943</v>
      </c>
      <c r="C588" s="55" t="s">
        <v>38</v>
      </c>
      <c r="D588" s="227">
        <v>264</v>
      </c>
      <c r="G588" s="62"/>
      <c r="H588" s="62"/>
      <c r="I588" s="62"/>
    </row>
    <row r="589" spans="1:9" ht="14.25" customHeight="1">
      <c r="A589" s="82">
        <v>586</v>
      </c>
      <c r="B589" s="55">
        <v>1948</v>
      </c>
      <c r="C589" s="55" t="s">
        <v>38</v>
      </c>
      <c r="D589" s="227">
        <v>-19</v>
      </c>
      <c r="G589" s="62"/>
      <c r="H589" s="62"/>
      <c r="I589" s="62"/>
    </row>
    <row r="590" spans="1:9" ht="14.25" customHeight="1">
      <c r="A590" s="82">
        <v>587</v>
      </c>
      <c r="B590" s="55">
        <v>1951</v>
      </c>
      <c r="C590" s="55" t="s">
        <v>38</v>
      </c>
      <c r="D590" s="227">
        <v>-202</v>
      </c>
      <c r="G590" s="62"/>
      <c r="H590" s="62"/>
      <c r="I590" s="62"/>
    </row>
    <row r="591" spans="1:9" ht="14.25" customHeight="1">
      <c r="A591" s="84">
        <v>588</v>
      </c>
      <c r="B591" s="55">
        <v>1955</v>
      </c>
      <c r="C591" s="55" t="s">
        <v>38</v>
      </c>
      <c r="D591" s="227">
        <v>131.5</v>
      </c>
      <c r="G591" s="62"/>
      <c r="H591" s="62"/>
      <c r="I591" s="62"/>
    </row>
    <row r="592" spans="1:9" ht="14.25" customHeight="1">
      <c r="A592" s="84">
        <v>589</v>
      </c>
      <c r="B592" s="55">
        <v>1958</v>
      </c>
      <c r="C592" s="55" t="s">
        <v>38</v>
      </c>
      <c r="D592" s="227">
        <v>27</v>
      </c>
      <c r="G592" s="62"/>
      <c r="H592" s="62"/>
      <c r="I592" s="62"/>
    </row>
    <row r="593" spans="1:9" ht="14.25" customHeight="1">
      <c r="A593" s="82">
        <v>590</v>
      </c>
      <c r="B593" s="55">
        <v>1964</v>
      </c>
      <c r="C593" s="55" t="s">
        <v>38</v>
      </c>
      <c r="D593" s="227">
        <v>445.9</v>
      </c>
      <c r="G593" s="62"/>
      <c r="H593" s="62"/>
      <c r="I593" s="62"/>
    </row>
    <row r="594" spans="1:9" ht="14.25" customHeight="1">
      <c r="A594" s="82">
        <v>591</v>
      </c>
      <c r="B594" s="55">
        <v>1965</v>
      </c>
      <c r="C594" s="55" t="s">
        <v>38</v>
      </c>
      <c r="D594" s="227">
        <v>-106</v>
      </c>
      <c r="G594" s="62"/>
      <c r="H594" s="62"/>
      <c r="I594" s="62"/>
    </row>
    <row r="595" spans="1:9" ht="14.25" customHeight="1">
      <c r="A595" s="84">
        <v>592</v>
      </c>
      <c r="B595" s="55">
        <v>1981</v>
      </c>
      <c r="C595" s="55" t="s">
        <v>38</v>
      </c>
      <c r="D595" s="227">
        <v>-12</v>
      </c>
      <c r="G595" s="62"/>
      <c r="H595" s="62"/>
      <c r="I595" s="62"/>
    </row>
    <row r="596" spans="1:9" ht="14.25" customHeight="1">
      <c r="A596" s="84">
        <v>593</v>
      </c>
      <c r="B596" s="55">
        <v>1984</v>
      </c>
      <c r="C596" s="55" t="s">
        <v>38</v>
      </c>
      <c r="D596" s="227">
        <v>-85</v>
      </c>
      <c r="G596" s="62"/>
      <c r="H596" s="62"/>
      <c r="I596" s="62"/>
    </row>
    <row r="597" spans="1:9" ht="14.25" customHeight="1">
      <c r="A597" s="82">
        <v>594</v>
      </c>
      <c r="B597" s="55">
        <v>1985</v>
      </c>
      <c r="C597" s="55" t="s">
        <v>38</v>
      </c>
      <c r="D597" s="227">
        <v>20.399999999999999</v>
      </c>
      <c r="G597" s="62"/>
      <c r="H597" s="62"/>
      <c r="I597" s="62"/>
    </row>
    <row r="598" spans="1:9" ht="14.25" customHeight="1">
      <c r="A598" s="82">
        <v>595</v>
      </c>
      <c r="B598" s="55">
        <v>1992</v>
      </c>
      <c r="C598" s="55" t="s">
        <v>38</v>
      </c>
      <c r="D598" s="227">
        <v>-252</v>
      </c>
      <c r="G598" s="62"/>
      <c r="H598" s="62"/>
      <c r="I598" s="62"/>
    </row>
    <row r="599" spans="1:9" ht="14.25" customHeight="1">
      <c r="A599" s="84">
        <v>596</v>
      </c>
      <c r="B599" s="55">
        <v>2005</v>
      </c>
      <c r="C599" s="55" t="s">
        <v>38</v>
      </c>
      <c r="D599" s="227">
        <v>-32</v>
      </c>
      <c r="G599" s="62"/>
      <c r="H599" s="62"/>
      <c r="I599" s="62"/>
    </row>
    <row r="600" spans="1:9" ht="14.25" customHeight="1">
      <c r="A600" s="84">
        <v>597</v>
      </c>
      <c r="B600" s="55">
        <v>2011</v>
      </c>
      <c r="C600" s="55" t="s">
        <v>38</v>
      </c>
      <c r="D600" s="227">
        <v>204</v>
      </c>
      <c r="G600" s="62"/>
      <c r="H600" s="62"/>
      <c r="I600" s="62"/>
    </row>
    <row r="601" spans="1:9" ht="14.25" customHeight="1">
      <c r="A601" s="82">
        <v>598</v>
      </c>
      <c r="B601" s="55">
        <v>2014</v>
      </c>
      <c r="C601" s="55" t="s">
        <v>38</v>
      </c>
      <c r="D601" s="227">
        <v>-191.69999999999993</v>
      </c>
      <c r="G601" s="62"/>
      <c r="H601" s="62"/>
      <c r="I601" s="62"/>
    </row>
    <row r="602" spans="1:9" ht="14.25" customHeight="1">
      <c r="A602" s="82">
        <v>599</v>
      </c>
      <c r="B602" s="55">
        <v>2019</v>
      </c>
      <c r="C602" s="55" t="s">
        <v>38</v>
      </c>
      <c r="D602" s="227">
        <v>-22</v>
      </c>
      <c r="G602" s="62"/>
      <c r="H602" s="62"/>
      <c r="I602" s="62"/>
    </row>
    <row r="603" spans="1:9" ht="14.25" customHeight="1">
      <c r="A603" s="82">
        <v>600</v>
      </c>
      <c r="B603" s="55">
        <v>2020</v>
      </c>
      <c r="C603" s="55" t="s">
        <v>38</v>
      </c>
      <c r="D603" s="227">
        <v>-152</v>
      </c>
      <c r="G603" s="62"/>
      <c r="H603" s="62"/>
      <c r="I603" s="62"/>
    </row>
    <row r="604" spans="1:9" ht="14.25" customHeight="1">
      <c r="A604" s="84">
        <v>601</v>
      </c>
      <c r="B604" s="55">
        <v>2033</v>
      </c>
      <c r="C604" s="55" t="s">
        <v>38</v>
      </c>
      <c r="D604" s="227">
        <v>23</v>
      </c>
      <c r="G604" s="62"/>
      <c r="H604" s="62"/>
      <c r="I604" s="62"/>
    </row>
    <row r="605" spans="1:9" ht="14.25" customHeight="1">
      <c r="A605" s="84">
        <v>602</v>
      </c>
      <c r="B605" s="55">
        <v>2036</v>
      </c>
      <c r="C605" s="55" t="s">
        <v>38</v>
      </c>
      <c r="D605" s="227">
        <v>28</v>
      </c>
      <c r="G605" s="62"/>
      <c r="H605" s="62"/>
      <c r="I605" s="62"/>
    </row>
    <row r="606" spans="1:9" ht="14.25" customHeight="1">
      <c r="A606" s="82">
        <v>603</v>
      </c>
      <c r="B606" s="55">
        <v>2040</v>
      </c>
      <c r="C606" s="55" t="s">
        <v>38</v>
      </c>
      <c r="D606" s="227">
        <v>-20</v>
      </c>
      <c r="G606" s="62"/>
      <c r="H606" s="62"/>
      <c r="I606" s="62"/>
    </row>
    <row r="607" spans="1:9" ht="14.25" customHeight="1">
      <c r="A607" s="82">
        <v>604</v>
      </c>
      <c r="B607" s="55">
        <v>2043</v>
      </c>
      <c r="C607" s="55" t="s">
        <v>38</v>
      </c>
      <c r="D607" s="227">
        <v>-110</v>
      </c>
      <c r="G607" s="62"/>
      <c r="H607" s="62"/>
      <c r="I607" s="62"/>
    </row>
    <row r="608" spans="1:9" ht="14.25" customHeight="1">
      <c r="A608" s="82">
        <v>605</v>
      </c>
      <c r="B608" s="55">
        <v>2045</v>
      </c>
      <c r="C608" s="55" t="s">
        <v>38</v>
      </c>
      <c r="D608" s="227">
        <v>-22</v>
      </c>
      <c r="G608" s="62"/>
      <c r="H608" s="62"/>
      <c r="I608" s="62"/>
    </row>
    <row r="609" spans="1:9" ht="14.25" customHeight="1">
      <c r="A609" s="84">
        <v>606</v>
      </c>
      <c r="B609" s="55">
        <v>2049</v>
      </c>
      <c r="C609" s="55" t="s">
        <v>38</v>
      </c>
      <c r="D609" s="227">
        <v>170</v>
      </c>
      <c r="G609" s="62"/>
      <c r="H609" s="62"/>
      <c r="I609" s="62"/>
    </row>
    <row r="610" spans="1:9" ht="14.25" customHeight="1">
      <c r="A610" s="84">
        <v>607</v>
      </c>
      <c r="B610" s="55">
        <v>2050</v>
      </c>
      <c r="C610" s="55" t="s">
        <v>38</v>
      </c>
      <c r="D610" s="227">
        <v>-10</v>
      </c>
      <c r="G610" s="62"/>
      <c r="H610" s="62"/>
      <c r="I610" s="62"/>
    </row>
    <row r="611" spans="1:9" ht="14.25" customHeight="1">
      <c r="A611" s="82">
        <v>608</v>
      </c>
      <c r="B611" s="55">
        <v>2063</v>
      </c>
      <c r="C611" s="55" t="s">
        <v>38</v>
      </c>
      <c r="D611" s="227">
        <v>33</v>
      </c>
      <c r="G611" s="62"/>
      <c r="H611" s="62"/>
      <c r="I611" s="62"/>
    </row>
    <row r="612" spans="1:9" ht="14.25" customHeight="1">
      <c r="A612" s="82">
        <v>609</v>
      </c>
      <c r="B612" s="55">
        <v>2079</v>
      </c>
      <c r="C612" s="55" t="s">
        <v>38</v>
      </c>
      <c r="D612" s="227">
        <v>-22</v>
      </c>
      <c r="G612" s="62"/>
      <c r="H612" s="62"/>
      <c r="I612" s="62"/>
    </row>
    <row r="613" spans="1:9" ht="14.25" customHeight="1">
      <c r="A613" s="84">
        <v>610</v>
      </c>
      <c r="B613" s="55">
        <v>2086</v>
      </c>
      <c r="C613" s="55" t="s">
        <v>38</v>
      </c>
      <c r="D613" s="227">
        <v>833.77</v>
      </c>
      <c r="G613" s="62"/>
      <c r="H613" s="62"/>
      <c r="I613" s="62"/>
    </row>
    <row r="614" spans="1:9" ht="14.25" customHeight="1">
      <c r="A614" s="84">
        <v>611</v>
      </c>
      <c r="B614" s="55">
        <v>2091</v>
      </c>
      <c r="C614" s="55" t="s">
        <v>38</v>
      </c>
      <c r="D614" s="227">
        <v>160</v>
      </c>
      <c r="G614" s="62"/>
      <c r="H614" s="62"/>
      <c r="I614" s="62"/>
    </row>
    <row r="615" spans="1:9" ht="14.25" customHeight="1">
      <c r="A615" s="82">
        <v>612</v>
      </c>
      <c r="B615" s="55">
        <v>2110</v>
      </c>
      <c r="C615" s="55" t="s">
        <v>38</v>
      </c>
      <c r="D615" s="227">
        <v>407.65999999999997</v>
      </c>
      <c r="G615" s="62"/>
      <c r="H615" s="62"/>
      <c r="I615" s="62"/>
    </row>
    <row r="616" spans="1:9" ht="14.25" customHeight="1">
      <c r="A616" s="82">
        <v>613</v>
      </c>
      <c r="B616" s="55">
        <v>2111</v>
      </c>
      <c r="C616" s="55" t="s">
        <v>38</v>
      </c>
      <c r="D616" s="227">
        <v>407.65999999999997</v>
      </c>
      <c r="G616" s="62"/>
      <c r="H616" s="62"/>
      <c r="I616" s="62"/>
    </row>
    <row r="617" spans="1:9" ht="14.25" customHeight="1">
      <c r="A617" s="84">
        <v>614</v>
      </c>
      <c r="B617" s="55">
        <v>2112</v>
      </c>
      <c r="C617" s="55" t="s">
        <v>38</v>
      </c>
      <c r="D617" s="227">
        <v>28</v>
      </c>
      <c r="G617" s="62"/>
      <c r="H617" s="62"/>
      <c r="I617" s="62"/>
    </row>
    <row r="618" spans="1:9" ht="14.25" customHeight="1">
      <c r="A618" s="84">
        <v>615</v>
      </c>
      <c r="B618" s="55">
        <v>2116</v>
      </c>
      <c r="C618" s="55" t="s">
        <v>38</v>
      </c>
      <c r="D618" s="227">
        <v>42</v>
      </c>
      <c r="G618" s="62"/>
      <c r="H618" s="62"/>
      <c r="I618" s="62"/>
    </row>
    <row r="619" spans="1:9" ht="14.25" customHeight="1">
      <c r="A619" s="82">
        <v>616</v>
      </c>
      <c r="B619" s="55">
        <v>2128</v>
      </c>
      <c r="C619" s="55" t="s">
        <v>38</v>
      </c>
      <c r="D619" s="227">
        <v>644</v>
      </c>
      <c r="G619" s="62"/>
      <c r="H619" s="62"/>
      <c r="I619" s="62"/>
    </row>
    <row r="620" spans="1:9" ht="14.25" customHeight="1">
      <c r="A620" s="82">
        <v>617</v>
      </c>
      <c r="B620" s="55">
        <v>2129</v>
      </c>
      <c r="C620" s="55" t="s">
        <v>38</v>
      </c>
      <c r="D620" s="227">
        <v>-162</v>
      </c>
      <c r="G620" s="62"/>
      <c r="H620" s="62"/>
      <c r="I620" s="62"/>
    </row>
    <row r="621" spans="1:9" ht="14.25" customHeight="1">
      <c r="A621" s="84">
        <v>618</v>
      </c>
      <c r="B621" s="85">
        <v>2134</v>
      </c>
      <c r="C621" s="85" t="s">
        <v>38</v>
      </c>
      <c r="D621" s="227">
        <v>350</v>
      </c>
      <c r="G621" s="62"/>
      <c r="H621" s="62"/>
      <c r="I621" s="62"/>
    </row>
    <row r="622" spans="1:9" ht="14.25" customHeight="1">
      <c r="A622" s="84">
        <v>619</v>
      </c>
      <c r="B622" s="85">
        <v>2136</v>
      </c>
      <c r="C622" s="85" t="s">
        <v>38</v>
      </c>
      <c r="D622" s="227">
        <v>-22</v>
      </c>
      <c r="G622" s="62"/>
      <c r="H622" s="62"/>
      <c r="I622" s="62"/>
    </row>
    <row r="623" spans="1:9" ht="14.25" customHeight="1">
      <c r="A623" s="82">
        <v>620</v>
      </c>
      <c r="B623" s="85">
        <v>2139</v>
      </c>
      <c r="C623" s="85" t="s">
        <v>38</v>
      </c>
      <c r="D623" s="227">
        <v>-22</v>
      </c>
      <c r="G623" s="62"/>
      <c r="H623" s="62"/>
      <c r="I623" s="62"/>
    </row>
    <row r="624" spans="1:9" ht="14.25" customHeight="1">
      <c r="A624" s="82">
        <v>621</v>
      </c>
      <c r="B624" s="85">
        <v>2147</v>
      </c>
      <c r="C624" s="85" t="s">
        <v>38</v>
      </c>
      <c r="D624" s="227">
        <v>302</v>
      </c>
      <c r="G624" s="62"/>
      <c r="H624" s="62"/>
      <c r="I624" s="62"/>
    </row>
    <row r="625" spans="1:9" ht="14.25" customHeight="1">
      <c r="A625" s="84">
        <v>622</v>
      </c>
      <c r="B625" s="85">
        <v>2154</v>
      </c>
      <c r="C625" s="85" t="s">
        <v>38</v>
      </c>
      <c r="D625" s="227">
        <v>650</v>
      </c>
      <c r="G625" s="62"/>
      <c r="H625" s="62"/>
      <c r="I625" s="62"/>
    </row>
    <row r="626" spans="1:9" ht="14.25" customHeight="1">
      <c r="A626" s="84">
        <v>623</v>
      </c>
      <c r="B626" s="85">
        <v>2162</v>
      </c>
      <c r="C626" s="85" t="s">
        <v>38</v>
      </c>
      <c r="D626" s="227">
        <v>-150</v>
      </c>
      <c r="G626" s="62"/>
      <c r="H626" s="62"/>
      <c r="I626" s="62"/>
    </row>
    <row r="627" spans="1:9" ht="14.25" customHeight="1">
      <c r="A627" s="82">
        <v>624</v>
      </c>
      <c r="B627" s="85">
        <v>2163</v>
      </c>
      <c r="C627" s="85" t="s">
        <v>38</v>
      </c>
      <c r="D627" s="227">
        <v>-150</v>
      </c>
      <c r="G627" s="62"/>
      <c r="H627" s="62"/>
      <c r="I627" s="62"/>
    </row>
    <row r="628" spans="1:9" ht="14.25" customHeight="1">
      <c r="A628" s="82">
        <v>625</v>
      </c>
      <c r="B628" s="85">
        <v>2167</v>
      </c>
      <c r="C628" s="85" t="s">
        <v>38</v>
      </c>
      <c r="D628" s="227">
        <v>193.9</v>
      </c>
      <c r="G628" s="62"/>
      <c r="H628" s="62"/>
      <c r="I628" s="62"/>
    </row>
    <row r="629" spans="1:9" ht="14.25" customHeight="1">
      <c r="A629" s="84">
        <v>626</v>
      </c>
      <c r="B629" s="85">
        <v>2179</v>
      </c>
      <c r="C629" s="85" t="s">
        <v>38</v>
      </c>
      <c r="D629" s="227">
        <v>17.899999999999999</v>
      </c>
      <c r="G629" s="62"/>
      <c r="H629" s="62"/>
      <c r="I629" s="62"/>
    </row>
    <row r="630" spans="1:9" ht="14.25" customHeight="1">
      <c r="A630" s="84">
        <v>627</v>
      </c>
      <c r="B630" s="85">
        <v>2189</v>
      </c>
      <c r="C630" s="85" t="s">
        <v>38</v>
      </c>
      <c r="D630" s="227">
        <v>244.51</v>
      </c>
      <c r="G630" s="62"/>
      <c r="H630" s="62"/>
      <c r="I630" s="62"/>
    </row>
    <row r="631" spans="1:9" ht="14.25" customHeight="1">
      <c r="A631" s="82">
        <v>628</v>
      </c>
      <c r="B631" s="85">
        <v>2192</v>
      </c>
      <c r="C631" s="85" t="s">
        <v>38</v>
      </c>
      <c r="D631" s="227">
        <v>-22</v>
      </c>
      <c r="G631" s="62"/>
      <c r="H631" s="62"/>
      <c r="I631" s="62"/>
    </row>
    <row r="632" spans="1:9" ht="14.25" customHeight="1">
      <c r="A632" s="82">
        <v>629</v>
      </c>
      <c r="B632" s="85">
        <v>2194</v>
      </c>
      <c r="C632" s="85" t="s">
        <v>38</v>
      </c>
      <c r="D632" s="227">
        <v>703</v>
      </c>
      <c r="G632" s="62"/>
      <c r="H632" s="62"/>
      <c r="I632" s="62"/>
    </row>
    <row r="633" spans="1:9" ht="14.25" customHeight="1">
      <c r="A633" s="84">
        <v>630</v>
      </c>
      <c r="B633" s="85">
        <v>2202</v>
      </c>
      <c r="C633" s="85" t="s">
        <v>38</v>
      </c>
      <c r="D633" s="227">
        <v>187.39999999999998</v>
      </c>
      <c r="G633" s="62"/>
      <c r="H633" s="62"/>
      <c r="I633" s="62"/>
    </row>
    <row r="634" spans="1:9" ht="14.25" customHeight="1">
      <c r="A634" s="84">
        <v>631</v>
      </c>
      <c r="B634" s="85">
        <v>2204</v>
      </c>
      <c r="C634" s="85" t="s">
        <v>38</v>
      </c>
      <c r="D634" s="227">
        <v>-22</v>
      </c>
      <c r="G634" s="62"/>
      <c r="H634" s="62"/>
      <c r="I634" s="62"/>
    </row>
    <row r="635" spans="1:9" ht="14.25" customHeight="1">
      <c r="A635" s="82">
        <v>632</v>
      </c>
      <c r="B635" s="85">
        <v>2205</v>
      </c>
      <c r="C635" s="85" t="s">
        <v>38</v>
      </c>
      <c r="D635" s="227">
        <v>0.39999999999999858</v>
      </c>
      <c r="G635" s="62"/>
      <c r="H635" s="62"/>
      <c r="I635" s="62"/>
    </row>
    <row r="636" spans="1:9" ht="14.25" customHeight="1">
      <c r="A636" s="82">
        <v>633</v>
      </c>
      <c r="B636" s="85">
        <v>2206</v>
      </c>
      <c r="C636" s="85" t="s">
        <v>38</v>
      </c>
      <c r="D636" s="227">
        <v>-22</v>
      </c>
      <c r="G636" s="62"/>
      <c r="H636" s="62"/>
      <c r="I636" s="62"/>
    </row>
    <row r="637" spans="1:9" ht="14.25" customHeight="1">
      <c r="A637" s="84">
        <v>634</v>
      </c>
      <c r="B637" s="85">
        <v>2209</v>
      </c>
      <c r="C637" s="85" t="s">
        <v>38</v>
      </c>
      <c r="D637" s="227">
        <v>234.97000000000003</v>
      </c>
      <c r="G637" s="62"/>
      <c r="H637" s="62"/>
      <c r="I637" s="62"/>
    </row>
    <row r="638" spans="1:9" ht="14.25" customHeight="1">
      <c r="A638" s="84">
        <v>635</v>
      </c>
      <c r="B638" s="85">
        <v>2210</v>
      </c>
      <c r="C638" s="85" t="s">
        <v>38</v>
      </c>
      <c r="D638" s="227">
        <v>234.97000000000003</v>
      </c>
      <c r="G638" s="62"/>
      <c r="H638" s="62"/>
      <c r="I638" s="62"/>
    </row>
    <row r="639" spans="1:9" ht="14.25" customHeight="1">
      <c r="A639" s="82">
        <v>636</v>
      </c>
      <c r="B639" s="85">
        <v>2219</v>
      </c>
      <c r="C639" s="85" t="s">
        <v>38</v>
      </c>
      <c r="D639" s="227">
        <v>-150</v>
      </c>
      <c r="G639" s="62"/>
      <c r="H639" s="62"/>
      <c r="I639" s="62"/>
    </row>
    <row r="640" spans="1:9" ht="14.25" customHeight="1">
      <c r="A640" s="82">
        <v>637</v>
      </c>
      <c r="B640" s="85">
        <v>2220</v>
      </c>
      <c r="C640" s="85" t="s">
        <v>38</v>
      </c>
      <c r="D640" s="227">
        <v>-150</v>
      </c>
      <c r="G640" s="62"/>
      <c r="H640" s="62"/>
      <c r="I640" s="62"/>
    </row>
    <row r="641" spans="1:9" ht="14.25" customHeight="1">
      <c r="A641" s="84">
        <v>638</v>
      </c>
      <c r="B641" s="85">
        <v>2244</v>
      </c>
      <c r="C641" s="85" t="s">
        <v>38</v>
      </c>
      <c r="D641" s="227">
        <v>-22</v>
      </c>
      <c r="G641" s="62"/>
      <c r="H641" s="62"/>
      <c r="I641" s="62"/>
    </row>
    <row r="642" spans="1:9" ht="14.25" customHeight="1">
      <c r="A642" s="84">
        <v>639</v>
      </c>
      <c r="B642" s="85">
        <v>2257</v>
      </c>
      <c r="C642" s="85" t="s">
        <v>38</v>
      </c>
      <c r="D642" s="227">
        <v>150</v>
      </c>
      <c r="G642" s="62"/>
      <c r="H642" s="62"/>
      <c r="I642" s="62"/>
    </row>
    <row r="643" spans="1:9" ht="14.25" customHeight="1">
      <c r="A643" s="82">
        <v>640</v>
      </c>
      <c r="B643" s="85">
        <v>2258</v>
      </c>
      <c r="C643" s="85" t="s">
        <v>38</v>
      </c>
      <c r="D643" s="227">
        <v>-22</v>
      </c>
      <c r="G643" s="62"/>
      <c r="H643" s="62"/>
      <c r="I643" s="62"/>
    </row>
    <row r="644" spans="1:9" ht="14.25" customHeight="1">
      <c r="A644" s="82">
        <v>641</v>
      </c>
      <c r="B644" s="85">
        <v>2265</v>
      </c>
      <c r="C644" s="85" t="s">
        <v>38</v>
      </c>
      <c r="D644" s="227">
        <v>0</v>
      </c>
      <c r="G644" s="62"/>
      <c r="H644" s="62"/>
      <c r="I644" s="62"/>
    </row>
    <row r="645" spans="1:9" ht="14.25" customHeight="1">
      <c r="A645" s="84">
        <v>642</v>
      </c>
      <c r="B645" s="85">
        <v>2287</v>
      </c>
      <c r="C645" s="85" t="s">
        <v>38</v>
      </c>
      <c r="D645" s="227">
        <v>15.399999999999999</v>
      </c>
      <c r="G645" s="62"/>
      <c r="H645" s="62"/>
      <c r="I645" s="62"/>
    </row>
    <row r="646" spans="1:9" ht="14.25" customHeight="1">
      <c r="A646" s="84">
        <v>643</v>
      </c>
      <c r="B646" s="85">
        <v>31</v>
      </c>
      <c r="C646" s="85" t="s">
        <v>39</v>
      </c>
      <c r="D646" s="227">
        <v>123.96691749999997</v>
      </c>
      <c r="G646" s="62"/>
      <c r="H646" s="62"/>
      <c r="I646" s="62"/>
    </row>
    <row r="647" spans="1:9" ht="14.25" customHeight="1">
      <c r="A647" s="82">
        <v>644</v>
      </c>
      <c r="B647" s="85">
        <v>58</v>
      </c>
      <c r="C647" s="85" t="s">
        <v>39</v>
      </c>
      <c r="D647" s="227">
        <v>-29.833519999999936</v>
      </c>
      <c r="G647" s="62"/>
      <c r="H647" s="62"/>
      <c r="I647" s="62"/>
    </row>
    <row r="648" spans="1:9" ht="14.25" customHeight="1">
      <c r="A648" s="82">
        <v>645</v>
      </c>
      <c r="B648" s="85">
        <v>69</v>
      </c>
      <c r="C648" s="85" t="s">
        <v>39</v>
      </c>
      <c r="D648" s="227">
        <v>-64.321764999999999</v>
      </c>
      <c r="G648" s="62"/>
      <c r="H648" s="62"/>
      <c r="I648" s="62"/>
    </row>
    <row r="649" spans="1:9" ht="14.25" customHeight="1">
      <c r="A649" s="84">
        <v>646</v>
      </c>
      <c r="B649" s="85">
        <v>86</v>
      </c>
      <c r="C649" s="85" t="s">
        <v>39</v>
      </c>
      <c r="D649" s="227">
        <v>216.45000000000005</v>
      </c>
      <c r="G649" s="62"/>
      <c r="H649" s="62"/>
      <c r="I649" s="62"/>
    </row>
    <row r="650" spans="1:9" ht="14.25" customHeight="1">
      <c r="A650" s="84">
        <v>647</v>
      </c>
      <c r="B650" s="85">
        <v>87</v>
      </c>
      <c r="C650" s="85" t="s">
        <v>39</v>
      </c>
      <c r="D650" s="227">
        <v>146.88783999999998</v>
      </c>
      <c r="G650" s="62"/>
      <c r="H650" s="62"/>
      <c r="I650" s="62"/>
    </row>
    <row r="651" spans="1:9" ht="14.25" customHeight="1">
      <c r="A651" s="82">
        <v>648</v>
      </c>
      <c r="B651" s="85">
        <v>93</v>
      </c>
      <c r="C651" s="85" t="s">
        <v>39</v>
      </c>
      <c r="D651" s="227">
        <v>28.688406250000014</v>
      </c>
      <c r="G651" s="62"/>
      <c r="H651" s="62"/>
      <c r="I651" s="62"/>
    </row>
    <row r="652" spans="1:9" ht="14.25" customHeight="1">
      <c r="A652" s="82">
        <v>649</v>
      </c>
      <c r="B652" s="85">
        <v>109</v>
      </c>
      <c r="C652" s="85" t="s">
        <v>39</v>
      </c>
      <c r="D652" s="227">
        <v>-234.00000000000006</v>
      </c>
      <c r="G652" s="62"/>
      <c r="H652" s="62"/>
      <c r="I652" s="62"/>
    </row>
    <row r="653" spans="1:9" ht="14.25" customHeight="1">
      <c r="A653" s="84">
        <v>650</v>
      </c>
      <c r="B653" s="85">
        <v>133</v>
      </c>
      <c r="C653" s="85" t="s">
        <v>39</v>
      </c>
      <c r="D653" s="227">
        <v>-25.587880000000041</v>
      </c>
      <c r="G653" s="62"/>
      <c r="H653" s="62"/>
      <c r="I653" s="62"/>
    </row>
    <row r="654" spans="1:9" ht="14.25" customHeight="1">
      <c r="A654" s="84">
        <v>651</v>
      </c>
      <c r="B654" s="85">
        <v>136</v>
      </c>
      <c r="C654" s="85" t="s">
        <v>39</v>
      </c>
      <c r="D654" s="227">
        <v>-82</v>
      </c>
      <c r="G654" s="62"/>
      <c r="H654" s="62"/>
      <c r="I654" s="62"/>
    </row>
    <row r="655" spans="1:9" ht="14.25" customHeight="1">
      <c r="A655" s="82">
        <v>652</v>
      </c>
      <c r="B655" s="85">
        <v>137</v>
      </c>
      <c r="C655" s="85" t="s">
        <v>39</v>
      </c>
      <c r="D655" s="227">
        <v>-163.86019999999996</v>
      </c>
      <c r="G655" s="62"/>
      <c r="H655" s="62"/>
      <c r="I655" s="62"/>
    </row>
    <row r="656" spans="1:9" ht="14.25" customHeight="1">
      <c r="A656" s="82">
        <v>653</v>
      </c>
      <c r="B656" s="85">
        <v>142</v>
      </c>
      <c r="C656" s="85" t="s">
        <v>39</v>
      </c>
      <c r="D656" s="227">
        <v>152.47300000000001</v>
      </c>
      <c r="G656" s="62"/>
      <c r="H656" s="62"/>
      <c r="I656" s="62"/>
    </row>
    <row r="657" spans="1:9" ht="14.25" customHeight="1">
      <c r="A657" s="84">
        <v>654</v>
      </c>
      <c r="B657" s="85">
        <v>143</v>
      </c>
      <c r="C657" s="85" t="s">
        <v>39</v>
      </c>
      <c r="D657" s="227">
        <v>180.084</v>
      </c>
      <c r="G657" s="62"/>
      <c r="H657" s="62"/>
      <c r="I657" s="62"/>
    </row>
    <row r="658" spans="1:9" ht="14.25" customHeight="1">
      <c r="A658" s="84">
        <v>655</v>
      </c>
      <c r="B658" s="85">
        <v>148</v>
      </c>
      <c r="C658" s="85" t="s">
        <v>39</v>
      </c>
      <c r="D658" s="227">
        <v>-192.80825499999997</v>
      </c>
      <c r="G658" s="62"/>
      <c r="H658" s="62"/>
      <c r="I658" s="62"/>
    </row>
    <row r="659" spans="1:9" ht="14.25" customHeight="1">
      <c r="A659" s="82">
        <v>656</v>
      </c>
      <c r="B659" s="85">
        <v>169</v>
      </c>
      <c r="C659" s="85" t="s">
        <v>39</v>
      </c>
      <c r="D659" s="227">
        <v>34.36330000000001</v>
      </c>
      <c r="G659" s="62"/>
      <c r="H659" s="62"/>
      <c r="I659" s="62"/>
    </row>
    <row r="660" spans="1:9" ht="14.25" customHeight="1">
      <c r="A660" s="82">
        <v>657</v>
      </c>
      <c r="B660" s="85">
        <v>174</v>
      </c>
      <c r="C660" s="85" t="s">
        <v>39</v>
      </c>
      <c r="D660" s="227">
        <v>-295.52484249999998</v>
      </c>
      <c r="G660" s="62"/>
      <c r="H660" s="62"/>
      <c r="I660" s="62"/>
    </row>
    <row r="661" spans="1:9" ht="14.25" customHeight="1">
      <c r="A661" s="84">
        <v>658</v>
      </c>
      <c r="B661" s="85">
        <v>188</v>
      </c>
      <c r="C661" s="85" t="s">
        <v>39</v>
      </c>
      <c r="D661" s="227">
        <v>91.802935000000048</v>
      </c>
      <c r="G661" s="62"/>
      <c r="H661" s="62"/>
      <c r="I661" s="62"/>
    </row>
    <row r="662" spans="1:9" ht="14.25" customHeight="1">
      <c r="A662" s="84">
        <v>659</v>
      </c>
      <c r="B662" s="85">
        <v>203</v>
      </c>
      <c r="C662" s="85" t="s">
        <v>39</v>
      </c>
      <c r="D662" s="227">
        <v>112.60000000000002</v>
      </c>
      <c r="G662" s="62"/>
      <c r="H662" s="62"/>
      <c r="I662" s="62"/>
    </row>
    <row r="663" spans="1:9" ht="14.25" customHeight="1">
      <c r="A663" s="82">
        <v>660</v>
      </c>
      <c r="B663" s="85">
        <v>211</v>
      </c>
      <c r="C663" s="85" t="s">
        <v>39</v>
      </c>
      <c r="D663" s="227">
        <v>12.069999999999993</v>
      </c>
      <c r="G663" s="62"/>
      <c r="H663" s="62"/>
      <c r="I663" s="62"/>
    </row>
    <row r="664" spans="1:9" ht="14.25" customHeight="1">
      <c r="A664" s="82">
        <v>661</v>
      </c>
      <c r="B664" s="85">
        <v>217</v>
      </c>
      <c r="C664" s="85" t="s">
        <v>39</v>
      </c>
      <c r="D664" s="227">
        <v>-60</v>
      </c>
      <c r="G664" s="62"/>
      <c r="H664" s="62"/>
      <c r="I664" s="62"/>
    </row>
    <row r="665" spans="1:9" ht="14.25" customHeight="1">
      <c r="A665" s="84">
        <v>662</v>
      </c>
      <c r="B665" s="85">
        <v>218</v>
      </c>
      <c r="C665" s="85" t="s">
        <v>39</v>
      </c>
      <c r="D665" s="227">
        <v>56.890000000000015</v>
      </c>
      <c r="G665" s="62"/>
      <c r="H665" s="62"/>
      <c r="I665" s="62"/>
    </row>
    <row r="666" spans="1:9" ht="14.25" customHeight="1">
      <c r="A666" s="84">
        <v>663</v>
      </c>
      <c r="B666" s="85">
        <v>220</v>
      </c>
      <c r="C666" s="85" t="s">
        <v>39</v>
      </c>
      <c r="D666" s="227">
        <v>60.221600000000024</v>
      </c>
      <c r="G666" s="62"/>
      <c r="H666" s="62"/>
      <c r="I666" s="62"/>
    </row>
    <row r="667" spans="1:9" ht="14.25" customHeight="1">
      <c r="A667" s="82">
        <v>664</v>
      </c>
      <c r="B667" s="85">
        <v>222</v>
      </c>
      <c r="C667" s="85" t="s">
        <v>39</v>
      </c>
      <c r="D667" s="227">
        <v>184.56</v>
      </c>
      <c r="G667" s="62"/>
      <c r="H667" s="62"/>
      <c r="I667" s="62"/>
    </row>
    <row r="668" spans="1:9" ht="14.25" customHeight="1">
      <c r="A668" s="82">
        <v>665</v>
      </c>
      <c r="B668" s="85">
        <v>231</v>
      </c>
      <c r="C668" s="85" t="s">
        <v>39</v>
      </c>
      <c r="D668" s="227">
        <v>-252</v>
      </c>
      <c r="G668" s="62"/>
      <c r="H668" s="62"/>
      <c r="I668" s="62"/>
    </row>
    <row r="669" spans="1:9" ht="14.25" customHeight="1">
      <c r="A669" s="84">
        <v>666</v>
      </c>
      <c r="B669" s="85">
        <v>232</v>
      </c>
      <c r="C669" s="85" t="s">
        <v>39</v>
      </c>
      <c r="D669" s="227">
        <v>-34.475312000000059</v>
      </c>
      <c r="G669" s="62"/>
      <c r="H669" s="62"/>
      <c r="I669" s="62"/>
    </row>
    <row r="670" spans="1:9" ht="14.25" customHeight="1">
      <c r="A670" s="84">
        <v>667</v>
      </c>
      <c r="B670" s="85">
        <v>237</v>
      </c>
      <c r="C670" s="85" t="s">
        <v>39</v>
      </c>
      <c r="D670" s="227">
        <v>162.25091750000001</v>
      </c>
      <c r="G670" s="62"/>
      <c r="H670" s="62"/>
      <c r="I670" s="62"/>
    </row>
    <row r="671" spans="1:9" ht="14.25" customHeight="1">
      <c r="A671" s="82">
        <v>668</v>
      </c>
      <c r="B671" s="85">
        <v>238</v>
      </c>
      <c r="C671" s="85" t="s">
        <v>39</v>
      </c>
      <c r="D671" s="227">
        <v>-350.13660000000004</v>
      </c>
      <c r="G671" s="62"/>
      <c r="H671" s="62"/>
      <c r="I671" s="62"/>
    </row>
    <row r="672" spans="1:9" ht="14.25" customHeight="1">
      <c r="A672" s="82">
        <v>669</v>
      </c>
      <c r="B672" s="85">
        <v>240</v>
      </c>
      <c r="C672" s="85" t="s">
        <v>39</v>
      </c>
      <c r="D672" s="227">
        <v>33.72535000000002</v>
      </c>
      <c r="G672" s="62"/>
      <c r="H672" s="62"/>
      <c r="I672" s="62"/>
    </row>
    <row r="673" spans="1:9" ht="14.25" customHeight="1">
      <c r="A673" s="82">
        <v>670</v>
      </c>
      <c r="B673" s="85">
        <v>243</v>
      </c>
      <c r="C673" s="85" t="s">
        <v>39</v>
      </c>
      <c r="D673" s="227">
        <v>-413.19</v>
      </c>
      <c r="G673" s="62"/>
      <c r="H673" s="62"/>
      <c r="I673" s="62"/>
    </row>
    <row r="674" spans="1:9" ht="14.25" customHeight="1">
      <c r="A674" s="84">
        <v>671</v>
      </c>
      <c r="B674" s="85">
        <v>262</v>
      </c>
      <c r="C674" s="85" t="s">
        <v>39</v>
      </c>
      <c r="D674" s="227">
        <v>-283.06240000000003</v>
      </c>
      <c r="G674" s="62"/>
      <c r="H674" s="62"/>
      <c r="I674" s="62"/>
    </row>
    <row r="675" spans="1:9" ht="14.25" customHeight="1">
      <c r="A675" s="84">
        <v>672</v>
      </c>
      <c r="B675" s="85">
        <v>263</v>
      </c>
      <c r="C675" s="85" t="s">
        <v>39</v>
      </c>
      <c r="D675" s="227">
        <v>-107.73290000000003</v>
      </c>
      <c r="G675" s="62"/>
      <c r="H675" s="62"/>
      <c r="I675" s="62"/>
    </row>
    <row r="676" spans="1:9" ht="14.25" customHeight="1">
      <c r="A676" s="82">
        <v>673</v>
      </c>
      <c r="B676" s="85">
        <v>265</v>
      </c>
      <c r="C676" s="85" t="s">
        <v>39</v>
      </c>
      <c r="D676" s="227">
        <v>79.69497000000004</v>
      </c>
      <c r="G676" s="62"/>
      <c r="H676" s="62"/>
      <c r="I676" s="62"/>
    </row>
    <row r="677" spans="1:9" ht="14.25" customHeight="1">
      <c r="A677" s="82">
        <v>674</v>
      </c>
      <c r="B677" s="85">
        <v>267</v>
      </c>
      <c r="C677" s="85" t="s">
        <v>39</v>
      </c>
      <c r="D677" s="227">
        <v>67.423935</v>
      </c>
      <c r="G677" s="62"/>
      <c r="H677" s="62"/>
      <c r="I677" s="62"/>
    </row>
    <row r="678" spans="1:9" ht="14.25" customHeight="1">
      <c r="A678" s="84">
        <v>675</v>
      </c>
      <c r="B678" s="85">
        <v>268</v>
      </c>
      <c r="C678" s="85" t="s">
        <v>39</v>
      </c>
      <c r="D678" s="227">
        <v>-128.86712999999997</v>
      </c>
      <c r="G678" s="62"/>
      <c r="H678" s="62"/>
      <c r="I678" s="62"/>
    </row>
    <row r="679" spans="1:9" ht="14.25" customHeight="1">
      <c r="A679" s="84">
        <v>676</v>
      </c>
      <c r="B679" s="85">
        <v>269</v>
      </c>
      <c r="C679" s="85" t="s">
        <v>39</v>
      </c>
      <c r="D679" s="227">
        <v>-142.22580000000005</v>
      </c>
      <c r="G679" s="62"/>
      <c r="H679" s="62"/>
      <c r="I679" s="62"/>
    </row>
    <row r="680" spans="1:9" ht="14.25" customHeight="1">
      <c r="A680" s="82">
        <v>677</v>
      </c>
      <c r="B680" s="85">
        <v>276</v>
      </c>
      <c r="C680" s="85" t="s">
        <v>39</v>
      </c>
      <c r="D680" s="227">
        <v>84.087815000000035</v>
      </c>
      <c r="G680" s="62"/>
      <c r="H680" s="62"/>
      <c r="I680" s="62"/>
    </row>
    <row r="681" spans="1:9" ht="14.25" customHeight="1">
      <c r="A681" s="82">
        <v>678</v>
      </c>
      <c r="B681" s="85">
        <v>277</v>
      </c>
      <c r="C681" s="85" t="s">
        <v>39</v>
      </c>
      <c r="D681" s="227">
        <v>-128.33000000000001</v>
      </c>
      <c r="G681" s="62"/>
      <c r="H681" s="62"/>
      <c r="I681" s="62"/>
    </row>
    <row r="682" spans="1:9" ht="14.25" customHeight="1">
      <c r="A682" s="84">
        <v>679</v>
      </c>
      <c r="B682" s="85">
        <v>331</v>
      </c>
      <c r="C682" s="85" t="s">
        <v>39</v>
      </c>
      <c r="D682" s="227">
        <v>181.93731750000001</v>
      </c>
      <c r="G682" s="62"/>
      <c r="H682" s="62"/>
      <c r="I682" s="62"/>
    </row>
    <row r="683" spans="1:9" ht="14.25" customHeight="1">
      <c r="A683" s="84">
        <v>680</v>
      </c>
      <c r="B683" s="85">
        <v>334</v>
      </c>
      <c r="C683" s="85" t="s">
        <v>39</v>
      </c>
      <c r="D683" s="227">
        <v>336.16714000000002</v>
      </c>
      <c r="G683" s="62"/>
      <c r="H683" s="62"/>
      <c r="I683" s="62"/>
    </row>
    <row r="684" spans="1:9" ht="14.25" customHeight="1">
      <c r="A684" s="82">
        <v>681</v>
      </c>
      <c r="B684" s="85">
        <v>342</v>
      </c>
      <c r="C684" s="85" t="s">
        <v>39</v>
      </c>
      <c r="D684" s="227">
        <v>382.93340499999999</v>
      </c>
      <c r="G684" s="62"/>
      <c r="H684" s="62"/>
      <c r="I684" s="62"/>
    </row>
    <row r="685" spans="1:9" ht="14.25" customHeight="1">
      <c r="A685" s="82">
        <v>682</v>
      </c>
      <c r="B685" s="85">
        <v>344</v>
      </c>
      <c r="C685" s="85" t="s">
        <v>39</v>
      </c>
      <c r="D685" s="227">
        <v>83.830000000000013</v>
      </c>
      <c r="G685" s="62"/>
      <c r="H685" s="62"/>
      <c r="I685" s="62"/>
    </row>
    <row r="686" spans="1:9" ht="14.25" customHeight="1">
      <c r="A686" s="84">
        <v>683</v>
      </c>
      <c r="B686" s="85">
        <v>345</v>
      </c>
      <c r="C686" s="85" t="s">
        <v>39</v>
      </c>
      <c r="D686" s="227">
        <v>-164.61099999999999</v>
      </c>
      <c r="G686" s="62"/>
      <c r="H686" s="62"/>
      <c r="I686" s="62"/>
    </row>
    <row r="687" spans="1:9" ht="14.25" customHeight="1">
      <c r="A687" s="84">
        <v>684</v>
      </c>
      <c r="B687" s="85">
        <v>347</v>
      </c>
      <c r="C687" s="85" t="s">
        <v>39</v>
      </c>
      <c r="D687" s="227">
        <v>152.18994000000004</v>
      </c>
      <c r="G687" s="62"/>
      <c r="H687" s="62"/>
      <c r="I687" s="62"/>
    </row>
    <row r="688" spans="1:9" ht="14.25" customHeight="1">
      <c r="A688" s="82">
        <v>685</v>
      </c>
      <c r="B688" s="85">
        <v>355</v>
      </c>
      <c r="C688" s="85" t="s">
        <v>39</v>
      </c>
      <c r="D688" s="227">
        <v>-52.208399999999997</v>
      </c>
      <c r="G688" s="62"/>
      <c r="H688" s="62"/>
      <c r="I688" s="62"/>
    </row>
    <row r="689" spans="1:9" ht="14.25" customHeight="1">
      <c r="A689" s="82">
        <v>686</v>
      </c>
      <c r="B689" s="85">
        <v>357</v>
      </c>
      <c r="C689" s="85" t="s">
        <v>39</v>
      </c>
      <c r="D689" s="227">
        <v>-82</v>
      </c>
      <c r="G689" s="62"/>
      <c r="H689" s="62"/>
      <c r="I689" s="62"/>
    </row>
    <row r="690" spans="1:9" ht="14.25" customHeight="1">
      <c r="A690" s="84">
        <v>687</v>
      </c>
      <c r="B690" s="85">
        <v>365</v>
      </c>
      <c r="C690" s="85" t="s">
        <v>39</v>
      </c>
      <c r="D690" s="227">
        <v>118.30192999999997</v>
      </c>
      <c r="G690" s="62"/>
      <c r="H690" s="62"/>
      <c r="I690" s="62"/>
    </row>
    <row r="691" spans="1:9" ht="14.25" customHeight="1">
      <c r="A691" s="84">
        <v>688</v>
      </c>
      <c r="B691" s="85">
        <v>379</v>
      </c>
      <c r="C691" s="85" t="s">
        <v>39</v>
      </c>
      <c r="D691" s="227">
        <v>-32.385399999999947</v>
      </c>
      <c r="G691" s="62"/>
      <c r="H691" s="62"/>
      <c r="I691" s="62"/>
    </row>
    <row r="692" spans="1:9" ht="14.25" customHeight="1">
      <c r="A692" s="82">
        <v>689</v>
      </c>
      <c r="B692" s="85">
        <v>382</v>
      </c>
      <c r="C692" s="85" t="s">
        <v>39</v>
      </c>
      <c r="D692" s="227">
        <v>114.92515999999996</v>
      </c>
      <c r="G692" s="62"/>
      <c r="H692" s="62"/>
      <c r="I692" s="62"/>
    </row>
    <row r="693" spans="1:9" ht="14.25" customHeight="1">
      <c r="A693" s="82">
        <v>690</v>
      </c>
      <c r="B693" s="85">
        <v>397</v>
      </c>
      <c r="C693" s="85" t="s">
        <v>39</v>
      </c>
      <c r="D693" s="227">
        <v>220</v>
      </c>
      <c r="G693" s="62"/>
      <c r="H693" s="62"/>
      <c r="I693" s="62"/>
    </row>
    <row r="694" spans="1:9" ht="14.25" customHeight="1">
      <c r="A694" s="84">
        <v>691</v>
      </c>
      <c r="B694" s="85">
        <v>400</v>
      </c>
      <c r="C694" s="85" t="s">
        <v>39</v>
      </c>
      <c r="D694" s="227">
        <v>-101.35480000000001</v>
      </c>
      <c r="G694" s="62"/>
      <c r="H694" s="62"/>
      <c r="I694" s="62"/>
    </row>
    <row r="695" spans="1:9" ht="14.25" customHeight="1">
      <c r="A695" s="84">
        <v>692</v>
      </c>
      <c r="B695" s="85">
        <v>418</v>
      </c>
      <c r="C695" s="85" t="s">
        <v>39</v>
      </c>
      <c r="D695" s="227">
        <v>43.271999999999991</v>
      </c>
      <c r="G695" s="62"/>
      <c r="H695" s="62"/>
      <c r="I695" s="62"/>
    </row>
    <row r="696" spans="1:9" ht="14.25" customHeight="1">
      <c r="A696" s="82">
        <v>693</v>
      </c>
      <c r="B696" s="85">
        <v>419</v>
      </c>
      <c r="C696" s="85" t="s">
        <v>39</v>
      </c>
      <c r="D696" s="227">
        <v>-184.07999999999998</v>
      </c>
      <c r="G696" s="62"/>
      <c r="H696" s="62"/>
      <c r="I696" s="62"/>
    </row>
    <row r="697" spans="1:9" ht="14.25" customHeight="1">
      <c r="A697" s="82">
        <v>694</v>
      </c>
      <c r="B697" s="85">
        <v>424</v>
      </c>
      <c r="C697" s="85" t="s">
        <v>39</v>
      </c>
      <c r="D697" s="227">
        <v>-22.453799999999944</v>
      </c>
      <c r="G697" s="62"/>
      <c r="H697" s="62"/>
      <c r="I697" s="62"/>
    </row>
    <row r="698" spans="1:9" ht="14.25" customHeight="1">
      <c r="A698" s="84">
        <v>695</v>
      </c>
      <c r="B698" s="85">
        <v>428</v>
      </c>
      <c r="C698" s="85" t="s">
        <v>39</v>
      </c>
      <c r="D698" s="227">
        <v>65.77976000000001</v>
      </c>
      <c r="G698" s="62"/>
      <c r="H698" s="62"/>
      <c r="I698" s="62"/>
    </row>
    <row r="699" spans="1:9" ht="14.25" customHeight="1">
      <c r="A699" s="84">
        <v>696</v>
      </c>
      <c r="B699" s="85">
        <v>430</v>
      </c>
      <c r="C699" s="85" t="s">
        <v>39</v>
      </c>
      <c r="D699" s="227">
        <v>251.87380000000002</v>
      </c>
      <c r="G699" s="62"/>
      <c r="H699" s="62"/>
      <c r="I699" s="62"/>
    </row>
    <row r="700" spans="1:9" ht="14.25" customHeight="1">
      <c r="A700" s="82">
        <v>697</v>
      </c>
      <c r="B700" s="85">
        <v>434</v>
      </c>
      <c r="C700" s="85" t="s">
        <v>39</v>
      </c>
      <c r="D700" s="227">
        <v>143.06180000000006</v>
      </c>
      <c r="G700" s="62"/>
      <c r="H700" s="62"/>
      <c r="I700" s="62"/>
    </row>
    <row r="701" spans="1:9" ht="14.25" customHeight="1">
      <c r="A701" s="82">
        <v>698</v>
      </c>
      <c r="B701" s="85">
        <v>435</v>
      </c>
      <c r="C701" s="85" t="s">
        <v>39</v>
      </c>
      <c r="D701" s="227">
        <v>-12.314749999999975</v>
      </c>
      <c r="G701" s="62"/>
      <c r="H701" s="62"/>
      <c r="I701" s="62"/>
    </row>
    <row r="702" spans="1:9" ht="14.25" customHeight="1">
      <c r="A702" s="84">
        <v>699</v>
      </c>
      <c r="B702" s="85">
        <v>440</v>
      </c>
      <c r="C702" s="85" t="s">
        <v>39</v>
      </c>
      <c r="D702" s="227">
        <v>52.926199999999994</v>
      </c>
      <c r="G702" s="62"/>
      <c r="H702" s="62"/>
      <c r="I702" s="62"/>
    </row>
    <row r="703" spans="1:9" ht="14.25" customHeight="1">
      <c r="A703" s="84">
        <v>700</v>
      </c>
      <c r="B703" s="85">
        <v>444</v>
      </c>
      <c r="C703" s="85" t="s">
        <v>39</v>
      </c>
      <c r="D703" s="227">
        <v>-70.25</v>
      </c>
      <c r="G703" s="62"/>
      <c r="H703" s="62"/>
      <c r="I703" s="62"/>
    </row>
    <row r="704" spans="1:9" ht="14.25" customHeight="1">
      <c r="A704" s="82">
        <v>701</v>
      </c>
      <c r="B704" s="85">
        <v>446</v>
      </c>
      <c r="C704" s="85" t="s">
        <v>39</v>
      </c>
      <c r="D704" s="227">
        <v>-186.47872000000007</v>
      </c>
      <c r="G704" s="62"/>
      <c r="H704" s="62"/>
      <c r="I704" s="62"/>
    </row>
    <row r="705" spans="1:9" ht="14.25" customHeight="1">
      <c r="A705" s="82">
        <v>702</v>
      </c>
      <c r="B705" s="85">
        <v>448</v>
      </c>
      <c r="C705" s="85" t="s">
        <v>39</v>
      </c>
      <c r="D705" s="227">
        <v>-10.03630000000004</v>
      </c>
      <c r="G705" s="62"/>
      <c r="H705" s="62"/>
      <c r="I705" s="62"/>
    </row>
    <row r="706" spans="1:9" ht="14.25" customHeight="1">
      <c r="A706" s="84">
        <v>703</v>
      </c>
      <c r="B706" s="85">
        <v>449</v>
      </c>
      <c r="C706" s="85" t="s">
        <v>39</v>
      </c>
      <c r="D706" s="227">
        <v>-30.439100000000053</v>
      </c>
      <c r="G706" s="62"/>
      <c r="H706" s="62"/>
      <c r="I706" s="62"/>
    </row>
    <row r="707" spans="1:9" ht="14.25" customHeight="1">
      <c r="A707" s="84">
        <v>704</v>
      </c>
      <c r="B707" s="85">
        <v>452</v>
      </c>
      <c r="C707" s="85" t="s">
        <v>39</v>
      </c>
      <c r="D707" s="227">
        <v>134.84650000000005</v>
      </c>
      <c r="G707" s="62"/>
      <c r="H707" s="62"/>
      <c r="I707" s="62"/>
    </row>
    <row r="708" spans="1:9" ht="14.25" customHeight="1">
      <c r="A708" s="82">
        <v>705</v>
      </c>
      <c r="B708" s="85">
        <v>453</v>
      </c>
      <c r="C708" s="85" t="s">
        <v>39</v>
      </c>
      <c r="D708" s="227">
        <v>30.291503999999975</v>
      </c>
      <c r="G708" s="62"/>
      <c r="H708" s="62"/>
      <c r="I708" s="62"/>
    </row>
    <row r="709" spans="1:9" ht="14.25" customHeight="1">
      <c r="A709" s="82">
        <v>706</v>
      </c>
      <c r="B709" s="85">
        <v>454</v>
      </c>
      <c r="C709" s="85" t="s">
        <v>39</v>
      </c>
      <c r="D709" s="227">
        <v>10.53619999999998</v>
      </c>
      <c r="G709" s="62"/>
      <c r="H709" s="62"/>
      <c r="I709" s="62"/>
    </row>
    <row r="710" spans="1:9" ht="14.25" customHeight="1">
      <c r="A710" s="84">
        <v>707</v>
      </c>
      <c r="B710" s="85">
        <v>455</v>
      </c>
      <c r="C710" s="85" t="s">
        <v>39</v>
      </c>
      <c r="D710" s="227">
        <v>-194.62816249999992</v>
      </c>
      <c r="G710" s="62"/>
      <c r="H710" s="62"/>
      <c r="I710" s="62"/>
    </row>
    <row r="711" spans="1:9" ht="14.25" customHeight="1">
      <c r="A711" s="84">
        <v>708</v>
      </c>
      <c r="B711" s="85">
        <v>462</v>
      </c>
      <c r="C711" s="85" t="s">
        <v>39</v>
      </c>
      <c r="D711" s="227">
        <v>58.861000000000018</v>
      </c>
      <c r="G711" s="62"/>
      <c r="H711" s="62"/>
      <c r="I711" s="62"/>
    </row>
    <row r="712" spans="1:9" ht="14.25" customHeight="1">
      <c r="A712" s="82">
        <v>709</v>
      </c>
      <c r="B712" s="85">
        <v>465</v>
      </c>
      <c r="C712" s="85" t="s">
        <v>39</v>
      </c>
      <c r="D712" s="227">
        <v>-135.64999999999998</v>
      </c>
      <c r="G712" s="62"/>
      <c r="H712" s="62"/>
      <c r="I712" s="62"/>
    </row>
    <row r="713" spans="1:9" ht="14.25" customHeight="1">
      <c r="A713" s="82">
        <v>710</v>
      </c>
      <c r="B713" s="85">
        <v>466</v>
      </c>
      <c r="C713" s="85" t="s">
        <v>39</v>
      </c>
      <c r="D713" s="227">
        <v>-47.728000000000065</v>
      </c>
      <c r="G713" s="62"/>
      <c r="H713" s="62"/>
      <c r="I713" s="62"/>
    </row>
    <row r="714" spans="1:9" ht="14.25" customHeight="1">
      <c r="A714" s="84">
        <v>711</v>
      </c>
      <c r="B714" s="85">
        <v>468</v>
      </c>
      <c r="C714" s="85" t="s">
        <v>39</v>
      </c>
      <c r="D714" s="227">
        <v>-394</v>
      </c>
      <c r="G714" s="62"/>
      <c r="H714" s="62"/>
      <c r="I714" s="62"/>
    </row>
    <row r="715" spans="1:9" ht="14.25" customHeight="1">
      <c r="A715" s="84">
        <v>712</v>
      </c>
      <c r="B715" s="85">
        <v>469</v>
      </c>
      <c r="C715" s="85" t="s">
        <v>39</v>
      </c>
      <c r="D715" s="227">
        <v>-54</v>
      </c>
      <c r="G715" s="62"/>
      <c r="H715" s="62"/>
      <c r="I715" s="62"/>
    </row>
    <row r="716" spans="1:9" ht="14.25" customHeight="1">
      <c r="A716" s="82">
        <v>713</v>
      </c>
      <c r="B716" s="85">
        <v>478</v>
      </c>
      <c r="C716" s="85" t="s">
        <v>39</v>
      </c>
      <c r="D716" s="227">
        <v>-14.200000000000045</v>
      </c>
      <c r="G716" s="62"/>
      <c r="H716" s="62"/>
      <c r="I716" s="62"/>
    </row>
    <row r="717" spans="1:9" ht="14.25" customHeight="1">
      <c r="A717" s="82">
        <v>714</v>
      </c>
      <c r="B717" s="85">
        <v>482</v>
      </c>
      <c r="C717" s="85" t="s">
        <v>39</v>
      </c>
      <c r="D717" s="227">
        <v>141.10105000000004</v>
      </c>
      <c r="G717" s="62"/>
      <c r="H717" s="62"/>
      <c r="I717" s="62"/>
    </row>
    <row r="718" spans="1:9" ht="14.25" customHeight="1">
      <c r="A718" s="84">
        <v>715</v>
      </c>
      <c r="B718" s="85">
        <v>484</v>
      </c>
      <c r="C718" s="85" t="s">
        <v>39</v>
      </c>
      <c r="D718" s="227">
        <v>-96.350599999999986</v>
      </c>
      <c r="G718" s="62"/>
      <c r="H718" s="62"/>
      <c r="I718" s="62"/>
    </row>
    <row r="719" spans="1:9" ht="14.25" customHeight="1">
      <c r="A719" s="84">
        <v>716</v>
      </c>
      <c r="B719" s="85">
        <v>486</v>
      </c>
      <c r="C719" s="85" t="s">
        <v>39</v>
      </c>
      <c r="D719" s="227">
        <v>-142.06049999999999</v>
      </c>
      <c r="G719" s="62"/>
      <c r="H719" s="62"/>
      <c r="I719" s="62"/>
    </row>
    <row r="720" spans="1:9" ht="14.25" customHeight="1">
      <c r="A720" s="82">
        <v>717</v>
      </c>
      <c r="B720" s="85">
        <v>492</v>
      </c>
      <c r="C720" s="85" t="s">
        <v>39</v>
      </c>
      <c r="D720" s="227">
        <v>-52</v>
      </c>
      <c r="G720" s="62"/>
      <c r="H720" s="62"/>
      <c r="I720" s="62"/>
    </row>
    <row r="721" spans="1:9" ht="14.25" customHeight="1">
      <c r="A721" s="82">
        <v>718</v>
      </c>
      <c r="B721" s="85">
        <v>496</v>
      </c>
      <c r="C721" s="85" t="s">
        <v>39</v>
      </c>
      <c r="D721" s="227">
        <v>204.08321000000001</v>
      </c>
      <c r="G721" s="62"/>
      <c r="H721" s="62"/>
      <c r="I721" s="62"/>
    </row>
    <row r="722" spans="1:9" ht="14.25" customHeight="1">
      <c r="A722" s="84">
        <v>719</v>
      </c>
      <c r="B722" s="85">
        <v>498</v>
      </c>
      <c r="C722" s="85" t="s">
        <v>39</v>
      </c>
      <c r="D722" s="227">
        <v>47.289999999999992</v>
      </c>
      <c r="G722" s="62"/>
      <c r="H722" s="62"/>
      <c r="I722" s="62"/>
    </row>
    <row r="723" spans="1:9" ht="14.25" customHeight="1">
      <c r="A723" s="84">
        <v>720</v>
      </c>
      <c r="B723" s="85">
        <v>502</v>
      </c>
      <c r="C723" s="85" t="s">
        <v>39</v>
      </c>
      <c r="D723" s="227">
        <v>181.56739999999996</v>
      </c>
      <c r="G723" s="62"/>
      <c r="H723" s="62"/>
      <c r="I723" s="62"/>
    </row>
    <row r="724" spans="1:9" ht="14.25" customHeight="1">
      <c r="A724" s="82">
        <v>721</v>
      </c>
      <c r="B724" s="85">
        <v>503</v>
      </c>
      <c r="C724" s="85" t="s">
        <v>39</v>
      </c>
      <c r="D724" s="227">
        <v>-91.885800000000017</v>
      </c>
      <c r="G724" s="62"/>
      <c r="H724" s="62"/>
      <c r="I724" s="62"/>
    </row>
    <row r="725" spans="1:9" ht="14.25" customHeight="1">
      <c r="A725" s="82">
        <v>722</v>
      </c>
      <c r="B725" s="85">
        <v>504</v>
      </c>
      <c r="C725" s="85" t="s">
        <v>39</v>
      </c>
      <c r="D725" s="227">
        <v>-34.180100000000039</v>
      </c>
      <c r="G725" s="62"/>
      <c r="H725" s="62"/>
      <c r="I725" s="62"/>
    </row>
    <row r="726" spans="1:9" ht="14.25" customHeight="1">
      <c r="A726" s="84">
        <v>723</v>
      </c>
      <c r="B726" s="85">
        <v>505</v>
      </c>
      <c r="C726" s="85" t="s">
        <v>39</v>
      </c>
      <c r="D726" s="227">
        <v>-70.582900000000052</v>
      </c>
      <c r="G726" s="62"/>
      <c r="H726" s="62"/>
      <c r="I726" s="62"/>
    </row>
    <row r="727" spans="1:9" ht="14.25" customHeight="1">
      <c r="A727" s="84">
        <v>724</v>
      </c>
      <c r="B727" s="85">
        <v>506</v>
      </c>
      <c r="C727" s="85" t="s">
        <v>39</v>
      </c>
      <c r="D727" s="227">
        <v>8.9141600000000381</v>
      </c>
      <c r="G727" s="62"/>
      <c r="H727" s="62"/>
      <c r="I727" s="62"/>
    </row>
    <row r="728" spans="1:9" ht="14.25" customHeight="1">
      <c r="A728" s="82">
        <v>725</v>
      </c>
      <c r="B728" s="85">
        <v>510</v>
      </c>
      <c r="C728" s="85" t="s">
        <v>39</v>
      </c>
      <c r="D728" s="227">
        <v>-287.86432000000002</v>
      </c>
      <c r="G728" s="62"/>
      <c r="H728" s="62"/>
      <c r="I728" s="62"/>
    </row>
    <row r="729" spans="1:9" ht="14.25" customHeight="1">
      <c r="A729" s="82">
        <v>726</v>
      </c>
      <c r="B729" s="85">
        <v>516</v>
      </c>
      <c r="C729" s="85" t="s">
        <v>39</v>
      </c>
      <c r="D729" s="227">
        <v>-2.5066120000000183</v>
      </c>
      <c r="G729" s="62"/>
      <c r="H729" s="62"/>
      <c r="I729" s="62"/>
    </row>
    <row r="730" spans="1:9" ht="14.25" customHeight="1">
      <c r="A730" s="84">
        <v>727</v>
      </c>
      <c r="B730" s="85">
        <v>518</v>
      </c>
      <c r="C730" s="85" t="s">
        <v>39</v>
      </c>
      <c r="D730" s="227">
        <v>-364.93135000000007</v>
      </c>
      <c r="G730" s="62"/>
      <c r="H730" s="62"/>
      <c r="I730" s="62"/>
    </row>
    <row r="731" spans="1:9" ht="14.25" customHeight="1">
      <c r="A731" s="84">
        <v>728</v>
      </c>
      <c r="B731" s="85">
        <v>519</v>
      </c>
      <c r="C731" s="85" t="s">
        <v>39</v>
      </c>
      <c r="D731" s="227">
        <v>108.69724150000002</v>
      </c>
      <c r="G731" s="62"/>
      <c r="H731" s="62"/>
      <c r="I731" s="62"/>
    </row>
    <row r="732" spans="1:9" ht="14.25" customHeight="1">
      <c r="A732" s="82">
        <v>729</v>
      </c>
      <c r="B732" s="85">
        <v>520</v>
      </c>
      <c r="C732" s="85" t="s">
        <v>39</v>
      </c>
      <c r="D732" s="227">
        <v>-60.245300000000043</v>
      </c>
      <c r="G732" s="62"/>
      <c r="H732" s="62"/>
      <c r="I732" s="62"/>
    </row>
    <row r="733" spans="1:9" ht="14.25" customHeight="1">
      <c r="A733" s="82">
        <v>730</v>
      </c>
      <c r="B733" s="85">
        <v>521</v>
      </c>
      <c r="C733" s="85" t="s">
        <v>39</v>
      </c>
      <c r="D733" s="227">
        <v>-28</v>
      </c>
      <c r="G733" s="62"/>
      <c r="H733" s="62"/>
      <c r="I733" s="62"/>
    </row>
    <row r="734" spans="1:9" ht="14.25" customHeight="1">
      <c r="A734" s="84">
        <v>731</v>
      </c>
      <c r="B734" s="85">
        <v>522</v>
      </c>
      <c r="C734" s="85" t="s">
        <v>39</v>
      </c>
      <c r="D734" s="227">
        <v>-104.5748000000001</v>
      </c>
      <c r="G734" s="62"/>
      <c r="H734" s="62"/>
      <c r="I734" s="62"/>
    </row>
    <row r="735" spans="1:9" ht="14.25" customHeight="1">
      <c r="A735" s="84">
        <v>732</v>
      </c>
      <c r="B735" s="85">
        <v>525</v>
      </c>
      <c r="C735" s="85" t="s">
        <v>39</v>
      </c>
      <c r="D735" s="227">
        <v>-169.05100000000002</v>
      </c>
      <c r="G735" s="62"/>
      <c r="H735" s="62"/>
      <c r="I735" s="62"/>
    </row>
    <row r="736" spans="1:9" ht="14.25" customHeight="1">
      <c r="A736" s="82">
        <v>733</v>
      </c>
      <c r="B736" s="85">
        <v>534</v>
      </c>
      <c r="C736" s="85" t="s">
        <v>39</v>
      </c>
      <c r="D736" s="227">
        <v>660.1</v>
      </c>
      <c r="G736" s="62"/>
      <c r="H736" s="62"/>
      <c r="I736" s="62"/>
    </row>
    <row r="737" spans="1:9" ht="14.25" customHeight="1">
      <c r="A737" s="82">
        <v>734</v>
      </c>
      <c r="B737" s="85">
        <v>538</v>
      </c>
      <c r="C737" s="85" t="s">
        <v>39</v>
      </c>
      <c r="D737" s="227">
        <v>164.41269999999997</v>
      </c>
      <c r="G737" s="62"/>
      <c r="H737" s="62"/>
      <c r="I737" s="62"/>
    </row>
    <row r="738" spans="1:9" ht="14.25" customHeight="1">
      <c r="A738" s="84">
        <v>735</v>
      </c>
      <c r="B738" s="85">
        <v>541</v>
      </c>
      <c r="C738" s="85" t="s">
        <v>39</v>
      </c>
      <c r="D738" s="227">
        <v>121.60000000000002</v>
      </c>
      <c r="G738" s="62"/>
      <c r="H738" s="62"/>
      <c r="I738" s="62"/>
    </row>
    <row r="739" spans="1:9" ht="14.25" customHeight="1">
      <c r="A739" s="84">
        <v>736</v>
      </c>
      <c r="B739" s="85">
        <v>554</v>
      </c>
      <c r="C739" s="85" t="s">
        <v>39</v>
      </c>
      <c r="D739" s="227">
        <v>-99.375999999999976</v>
      </c>
      <c r="G739" s="62"/>
      <c r="H739" s="62"/>
      <c r="I739" s="62"/>
    </row>
    <row r="740" spans="1:9" ht="14.25" customHeight="1">
      <c r="A740" s="82">
        <v>737</v>
      </c>
      <c r="B740" s="85">
        <v>555</v>
      </c>
      <c r="C740" s="85" t="s">
        <v>39</v>
      </c>
      <c r="D740" s="227">
        <v>-49.932670000000087</v>
      </c>
      <c r="G740" s="62"/>
      <c r="H740" s="62"/>
      <c r="I740" s="62"/>
    </row>
    <row r="741" spans="1:9" ht="14.25" customHeight="1">
      <c r="A741" s="82">
        <v>738</v>
      </c>
      <c r="B741" s="85">
        <v>556</v>
      </c>
      <c r="C741" s="85" t="s">
        <v>39</v>
      </c>
      <c r="D741" s="227">
        <v>-40.245413749999955</v>
      </c>
      <c r="G741" s="62"/>
      <c r="H741" s="62"/>
      <c r="I741" s="62"/>
    </row>
    <row r="742" spans="1:9" ht="14.25" customHeight="1">
      <c r="A742" s="84">
        <v>739</v>
      </c>
      <c r="B742" s="85">
        <v>557</v>
      </c>
      <c r="C742" s="85" t="s">
        <v>39</v>
      </c>
      <c r="D742" s="227">
        <v>-42.256682499999954</v>
      </c>
      <c r="G742" s="62"/>
      <c r="H742" s="62"/>
      <c r="I742" s="62"/>
    </row>
    <row r="743" spans="1:9" ht="14.25" customHeight="1">
      <c r="A743" s="84">
        <v>740</v>
      </c>
      <c r="B743" s="85">
        <v>558</v>
      </c>
      <c r="C743" s="85" t="s">
        <v>39</v>
      </c>
      <c r="D743" s="227">
        <v>41.794500000000028</v>
      </c>
      <c r="G743" s="62"/>
      <c r="H743" s="62"/>
      <c r="I743" s="62"/>
    </row>
    <row r="744" spans="1:9" ht="14.25" customHeight="1">
      <c r="A744" s="82">
        <v>741</v>
      </c>
      <c r="B744" s="85">
        <v>564</v>
      </c>
      <c r="C744" s="85" t="s">
        <v>39</v>
      </c>
      <c r="D744" s="227">
        <v>46.168099999999981</v>
      </c>
      <c r="G744" s="62"/>
      <c r="H744" s="62"/>
      <c r="I744" s="62"/>
    </row>
    <row r="745" spans="1:9" ht="14.25" customHeight="1">
      <c r="A745" s="82">
        <v>742</v>
      </c>
      <c r="B745" s="85">
        <v>574</v>
      </c>
      <c r="C745" s="85" t="s">
        <v>39</v>
      </c>
      <c r="D745" s="227">
        <v>-432.60596499999997</v>
      </c>
      <c r="G745" s="62"/>
      <c r="H745" s="62"/>
      <c r="I745" s="62"/>
    </row>
    <row r="746" spans="1:9" ht="14.25" customHeight="1">
      <c r="A746" s="84">
        <v>743</v>
      </c>
      <c r="B746" s="85">
        <v>587</v>
      </c>
      <c r="C746" s="85" t="s">
        <v>39</v>
      </c>
      <c r="D746" s="227">
        <v>-102.79800000000012</v>
      </c>
      <c r="G746" s="62"/>
      <c r="H746" s="62"/>
      <c r="I746" s="62"/>
    </row>
    <row r="747" spans="1:9" ht="14.25" customHeight="1">
      <c r="A747" s="84">
        <v>744</v>
      </c>
      <c r="B747" s="85">
        <v>588</v>
      </c>
      <c r="C747" s="85" t="s">
        <v>39</v>
      </c>
      <c r="D747" s="227">
        <v>-101.59782499999994</v>
      </c>
      <c r="G747" s="62"/>
      <c r="H747" s="62"/>
      <c r="I747" s="62"/>
    </row>
    <row r="748" spans="1:9" ht="14.25" customHeight="1">
      <c r="A748" s="82">
        <v>745</v>
      </c>
      <c r="B748" s="85">
        <v>589</v>
      </c>
      <c r="C748" s="85" t="s">
        <v>39</v>
      </c>
      <c r="D748" s="227">
        <v>-118.29042375000006</v>
      </c>
      <c r="G748" s="62"/>
      <c r="H748" s="62"/>
      <c r="I748" s="62"/>
    </row>
    <row r="749" spans="1:9" ht="14.25" customHeight="1">
      <c r="A749" s="82">
        <v>746</v>
      </c>
      <c r="B749" s="85">
        <v>590</v>
      </c>
      <c r="C749" s="85" t="s">
        <v>39</v>
      </c>
      <c r="D749" s="227">
        <v>20.320200000000057</v>
      </c>
      <c r="G749" s="62"/>
      <c r="H749" s="62"/>
      <c r="I749" s="62"/>
    </row>
    <row r="750" spans="1:9" ht="14.25" customHeight="1">
      <c r="A750" s="84">
        <v>747</v>
      </c>
      <c r="B750" s="85">
        <v>591</v>
      </c>
      <c r="C750" s="85" t="s">
        <v>39</v>
      </c>
      <c r="D750" s="227">
        <v>-897.98960000000011</v>
      </c>
      <c r="G750" s="62"/>
      <c r="H750" s="62"/>
      <c r="I750" s="62"/>
    </row>
    <row r="751" spans="1:9" ht="14.25" customHeight="1">
      <c r="A751" s="84">
        <v>748</v>
      </c>
      <c r="B751" s="85">
        <v>592</v>
      </c>
      <c r="C751" s="85" t="s">
        <v>39</v>
      </c>
      <c r="D751" s="227">
        <v>-263.81640000000004</v>
      </c>
      <c r="G751" s="62"/>
      <c r="H751" s="62"/>
      <c r="I751" s="62"/>
    </row>
    <row r="752" spans="1:9" ht="14.25" customHeight="1">
      <c r="A752" s="82">
        <v>749</v>
      </c>
      <c r="B752" s="85">
        <v>593</v>
      </c>
      <c r="C752" s="85" t="s">
        <v>39</v>
      </c>
      <c r="D752" s="227">
        <v>7.6758099999999558</v>
      </c>
      <c r="G752" s="62"/>
      <c r="H752" s="62"/>
      <c r="I752" s="62"/>
    </row>
    <row r="753" spans="1:9" ht="14.25" customHeight="1">
      <c r="A753" s="82">
        <v>750</v>
      </c>
      <c r="B753" s="85">
        <v>594</v>
      </c>
      <c r="C753" s="85" t="s">
        <v>39</v>
      </c>
      <c r="D753" s="227">
        <v>-135.69584999999995</v>
      </c>
      <c r="G753" s="62"/>
      <c r="H753" s="62"/>
      <c r="I753" s="62"/>
    </row>
    <row r="754" spans="1:9" ht="14.25" customHeight="1">
      <c r="A754" s="84">
        <v>751</v>
      </c>
      <c r="B754" s="85">
        <v>595</v>
      </c>
      <c r="C754" s="85" t="s">
        <v>39</v>
      </c>
      <c r="D754" s="227">
        <v>45.550200000000018</v>
      </c>
      <c r="G754" s="62"/>
      <c r="H754" s="62"/>
      <c r="I754" s="62"/>
    </row>
    <row r="755" spans="1:9" ht="14.25" customHeight="1">
      <c r="A755" s="84">
        <v>752</v>
      </c>
      <c r="B755" s="85">
        <v>596</v>
      </c>
      <c r="C755" s="85" t="s">
        <v>39</v>
      </c>
      <c r="D755" s="227">
        <v>-120.34500000000003</v>
      </c>
      <c r="G755" s="62"/>
      <c r="H755" s="62"/>
      <c r="I755" s="62"/>
    </row>
    <row r="756" spans="1:9" ht="14.25" customHeight="1">
      <c r="A756" s="82">
        <v>753</v>
      </c>
      <c r="B756" s="85">
        <v>602</v>
      </c>
      <c r="C756" s="85" t="s">
        <v>39</v>
      </c>
      <c r="D756" s="227">
        <v>135.45621500000001</v>
      </c>
      <c r="G756" s="62"/>
      <c r="H756" s="62"/>
      <c r="I756" s="62"/>
    </row>
    <row r="757" spans="1:9" ht="14.25" customHeight="1">
      <c r="A757" s="82">
        <v>754</v>
      </c>
      <c r="B757" s="85">
        <v>603</v>
      </c>
      <c r="C757" s="85" t="s">
        <v>39</v>
      </c>
      <c r="D757" s="227">
        <v>140.78681750000001</v>
      </c>
      <c r="G757" s="62"/>
      <c r="H757" s="62"/>
      <c r="I757" s="62"/>
    </row>
    <row r="758" spans="1:9" ht="14.25" customHeight="1">
      <c r="A758" s="84">
        <v>755</v>
      </c>
      <c r="B758" s="85">
        <v>604</v>
      </c>
      <c r="C758" s="85" t="s">
        <v>39</v>
      </c>
      <c r="D758" s="227">
        <v>174.88684000000001</v>
      </c>
      <c r="G758" s="62"/>
      <c r="H758" s="62"/>
      <c r="I758" s="62"/>
    </row>
    <row r="759" spans="1:9" ht="14.25" customHeight="1">
      <c r="A759" s="84">
        <v>756</v>
      </c>
      <c r="B759" s="85">
        <v>612</v>
      </c>
      <c r="C759" s="85" t="s">
        <v>39</v>
      </c>
      <c r="D759" s="227">
        <v>-16.081600000000094</v>
      </c>
      <c r="G759" s="62"/>
      <c r="H759" s="62"/>
      <c r="I759" s="62"/>
    </row>
    <row r="760" spans="1:9" ht="14.25" customHeight="1">
      <c r="A760" s="82">
        <v>757</v>
      </c>
      <c r="B760" s="85">
        <v>624</v>
      </c>
      <c r="C760" s="85" t="s">
        <v>39</v>
      </c>
      <c r="D760" s="227">
        <v>-152.54875999999996</v>
      </c>
      <c r="G760" s="62"/>
      <c r="H760" s="62"/>
      <c r="I760" s="62"/>
    </row>
    <row r="761" spans="1:9" ht="14.25" customHeight="1">
      <c r="A761" s="82">
        <v>758</v>
      </c>
      <c r="B761" s="85">
        <v>626</v>
      </c>
      <c r="C761" s="85" t="s">
        <v>39</v>
      </c>
      <c r="D761" s="227">
        <v>91.649400000000014</v>
      </c>
      <c r="G761" s="62"/>
      <c r="H761" s="62"/>
      <c r="I761" s="62"/>
    </row>
    <row r="762" spans="1:9" ht="14.25" customHeight="1">
      <c r="A762" s="84">
        <v>759</v>
      </c>
      <c r="B762" s="85">
        <v>630</v>
      </c>
      <c r="C762" s="85" t="s">
        <v>39</v>
      </c>
      <c r="D762" s="227">
        <v>-56.276573750000011</v>
      </c>
      <c r="G762" s="62"/>
      <c r="H762" s="62"/>
      <c r="I762" s="62"/>
    </row>
    <row r="763" spans="1:9" ht="14.25" customHeight="1">
      <c r="A763" s="84">
        <v>760</v>
      </c>
      <c r="B763" s="85">
        <v>633</v>
      </c>
      <c r="C763" s="85" t="s">
        <v>39</v>
      </c>
      <c r="D763" s="227">
        <v>-165.01209000000006</v>
      </c>
      <c r="G763" s="62"/>
      <c r="H763" s="62"/>
      <c r="I763" s="62"/>
    </row>
    <row r="764" spans="1:9" ht="14.25" customHeight="1">
      <c r="A764" s="82">
        <v>761</v>
      </c>
      <c r="B764" s="85">
        <v>636</v>
      </c>
      <c r="C764" s="85" t="s">
        <v>39</v>
      </c>
      <c r="D764" s="227">
        <v>-68</v>
      </c>
      <c r="G764" s="62"/>
      <c r="H764" s="62"/>
      <c r="I764" s="62"/>
    </row>
    <row r="765" spans="1:9" ht="14.25" customHeight="1">
      <c r="A765" s="82">
        <v>762</v>
      </c>
      <c r="B765" s="85">
        <v>637</v>
      </c>
      <c r="C765" s="85" t="s">
        <v>39</v>
      </c>
      <c r="D765" s="227">
        <v>-37.744000000000028</v>
      </c>
      <c r="G765" s="62"/>
      <c r="H765" s="62"/>
      <c r="I765" s="62"/>
    </row>
    <row r="766" spans="1:9" ht="14.25" customHeight="1">
      <c r="A766" s="84">
        <v>763</v>
      </c>
      <c r="B766" s="85">
        <v>638</v>
      </c>
      <c r="C766" s="85" t="s">
        <v>39</v>
      </c>
      <c r="D766" s="227">
        <v>-132.92246</v>
      </c>
      <c r="G766" s="62"/>
      <c r="H766" s="62"/>
      <c r="I766" s="62"/>
    </row>
    <row r="767" spans="1:9" ht="14.25" customHeight="1">
      <c r="A767" s="84">
        <v>764</v>
      </c>
      <c r="B767" s="85">
        <v>639</v>
      </c>
      <c r="C767" s="85" t="s">
        <v>39</v>
      </c>
      <c r="D767" s="227">
        <v>-39.738849999999957</v>
      </c>
      <c r="G767" s="62"/>
      <c r="H767" s="62"/>
      <c r="I767" s="62"/>
    </row>
    <row r="768" spans="1:9" ht="14.25" customHeight="1">
      <c r="A768" s="82">
        <v>765</v>
      </c>
      <c r="B768" s="85">
        <v>640</v>
      </c>
      <c r="C768" s="85" t="s">
        <v>39</v>
      </c>
      <c r="D768" s="227">
        <v>-61.714500000000044</v>
      </c>
      <c r="G768" s="62"/>
      <c r="H768" s="62"/>
      <c r="I768" s="62"/>
    </row>
    <row r="769" spans="1:9" ht="14.25" customHeight="1">
      <c r="A769" s="82">
        <v>766</v>
      </c>
      <c r="B769" s="85">
        <v>641</v>
      </c>
      <c r="C769" s="85" t="s">
        <v>39</v>
      </c>
      <c r="D769" s="227">
        <v>-41.705050000000028</v>
      </c>
      <c r="G769" s="62"/>
      <c r="H769" s="62"/>
      <c r="I769" s="62"/>
    </row>
    <row r="770" spans="1:9" ht="14.25" customHeight="1">
      <c r="A770" s="84">
        <v>767</v>
      </c>
      <c r="B770" s="85">
        <v>642</v>
      </c>
      <c r="C770" s="85" t="s">
        <v>39</v>
      </c>
      <c r="D770" s="227">
        <v>-191.87760000000003</v>
      </c>
      <c r="G770" s="62"/>
      <c r="H770" s="62"/>
      <c r="I770" s="62"/>
    </row>
    <row r="771" spans="1:9" ht="14.25" customHeight="1">
      <c r="A771" s="84">
        <v>768</v>
      </c>
      <c r="B771" s="85">
        <v>644</v>
      </c>
      <c r="C771" s="85" t="s">
        <v>39</v>
      </c>
      <c r="D771" s="227">
        <v>-83.360000000000014</v>
      </c>
      <c r="G771" s="62"/>
      <c r="H771" s="62"/>
      <c r="I771" s="62"/>
    </row>
    <row r="772" spans="1:9" ht="14.25" customHeight="1">
      <c r="A772" s="82">
        <v>769</v>
      </c>
      <c r="B772" s="85">
        <v>646</v>
      </c>
      <c r="C772" s="85" t="s">
        <v>39</v>
      </c>
      <c r="D772" s="227">
        <v>-93.987200000000144</v>
      </c>
      <c r="G772" s="62"/>
      <c r="H772" s="62"/>
      <c r="I772" s="62"/>
    </row>
    <row r="773" spans="1:9" ht="14.25" customHeight="1">
      <c r="A773" s="82">
        <v>770</v>
      </c>
      <c r="B773" s="85">
        <v>650</v>
      </c>
      <c r="C773" s="85" t="s">
        <v>39</v>
      </c>
      <c r="D773" s="227">
        <v>-60.109300000000019</v>
      </c>
      <c r="G773" s="62"/>
      <c r="H773" s="62"/>
      <c r="I773" s="62"/>
    </row>
    <row r="774" spans="1:9" ht="14.25" customHeight="1">
      <c r="A774" s="84">
        <v>771</v>
      </c>
      <c r="B774" s="85">
        <v>656</v>
      </c>
      <c r="C774" s="85" t="s">
        <v>39</v>
      </c>
      <c r="D774" s="227">
        <v>-150</v>
      </c>
      <c r="G774" s="62"/>
      <c r="H774" s="62"/>
      <c r="I774" s="62"/>
    </row>
    <row r="775" spans="1:9" ht="14.25" customHeight="1">
      <c r="A775" s="84">
        <v>772</v>
      </c>
      <c r="B775" s="85">
        <v>661</v>
      </c>
      <c r="C775" s="85" t="s">
        <v>39</v>
      </c>
      <c r="D775" s="227">
        <v>-959.09999999999991</v>
      </c>
      <c r="G775" s="62"/>
      <c r="H775" s="62"/>
      <c r="I775" s="62"/>
    </row>
    <row r="776" spans="1:9" ht="14.25" customHeight="1">
      <c r="A776" s="82">
        <v>773</v>
      </c>
      <c r="B776" s="85">
        <v>666</v>
      </c>
      <c r="C776" s="85" t="s">
        <v>39</v>
      </c>
      <c r="D776" s="227">
        <v>318.48799999999994</v>
      </c>
      <c r="G776" s="62"/>
      <c r="H776" s="62"/>
      <c r="I776" s="62"/>
    </row>
    <row r="777" spans="1:9" ht="14.25" customHeight="1">
      <c r="A777" s="82">
        <v>774</v>
      </c>
      <c r="B777" s="85">
        <v>667</v>
      </c>
      <c r="C777" s="85" t="s">
        <v>39</v>
      </c>
      <c r="D777" s="227">
        <v>-33</v>
      </c>
      <c r="G777" s="62"/>
      <c r="H777" s="62"/>
      <c r="I777" s="62"/>
    </row>
    <row r="778" spans="1:9" ht="14.25" customHeight="1">
      <c r="A778" s="84">
        <v>775</v>
      </c>
      <c r="B778" s="85">
        <v>671</v>
      </c>
      <c r="C778" s="85" t="s">
        <v>39</v>
      </c>
      <c r="D778" s="227">
        <v>-50</v>
      </c>
      <c r="G778" s="62"/>
      <c r="H778" s="62"/>
      <c r="I778" s="62"/>
    </row>
    <row r="779" spans="1:9" ht="14.25" customHeight="1">
      <c r="A779" s="84">
        <v>776</v>
      </c>
      <c r="B779" s="85">
        <v>672</v>
      </c>
      <c r="C779" s="85" t="s">
        <v>39</v>
      </c>
      <c r="D779" s="227">
        <v>-256.995</v>
      </c>
      <c r="G779" s="62"/>
      <c r="H779" s="62"/>
      <c r="I779" s="62"/>
    </row>
    <row r="780" spans="1:9" ht="14.25" customHeight="1">
      <c r="A780" s="82">
        <v>777</v>
      </c>
      <c r="B780" s="85">
        <v>673</v>
      </c>
      <c r="C780" s="85" t="s">
        <v>39</v>
      </c>
      <c r="D780" s="227">
        <v>240.66881750000005</v>
      </c>
      <c r="G780" s="62"/>
      <c r="H780" s="62"/>
      <c r="I780" s="62"/>
    </row>
    <row r="781" spans="1:9" ht="14.25" customHeight="1">
      <c r="A781" s="82">
        <v>778</v>
      </c>
      <c r="B781" s="85">
        <v>674</v>
      </c>
      <c r="C781" s="85" t="s">
        <v>39</v>
      </c>
      <c r="D781" s="227">
        <v>121.01806875</v>
      </c>
      <c r="G781" s="62"/>
      <c r="H781" s="62"/>
      <c r="I781" s="62"/>
    </row>
    <row r="782" spans="1:9" ht="14.25" customHeight="1">
      <c r="A782" s="84">
        <v>779</v>
      </c>
      <c r="B782" s="85">
        <v>675</v>
      </c>
      <c r="C782" s="85" t="s">
        <v>39</v>
      </c>
      <c r="D782" s="227">
        <v>-112.38593000000003</v>
      </c>
      <c r="G782" s="62"/>
      <c r="H782" s="62"/>
      <c r="I782" s="62"/>
    </row>
    <row r="783" spans="1:9" ht="14.25" customHeight="1">
      <c r="A783" s="84">
        <v>780</v>
      </c>
      <c r="B783" s="85">
        <v>676</v>
      </c>
      <c r="C783" s="85" t="s">
        <v>39</v>
      </c>
      <c r="D783" s="227">
        <v>-113.41644249999996</v>
      </c>
      <c r="G783" s="62"/>
      <c r="H783" s="62"/>
      <c r="I783" s="62"/>
    </row>
    <row r="784" spans="1:9" ht="14.25" customHeight="1">
      <c r="A784" s="82">
        <v>781</v>
      </c>
      <c r="B784" s="85">
        <v>677</v>
      </c>
      <c r="C784" s="85" t="s">
        <v>39</v>
      </c>
      <c r="D784" s="227">
        <v>-67.270200000000045</v>
      </c>
      <c r="G784" s="62"/>
      <c r="H784" s="62"/>
      <c r="I784" s="62"/>
    </row>
    <row r="785" spans="1:9" ht="14.25" customHeight="1">
      <c r="A785" s="82">
        <v>782</v>
      </c>
      <c r="B785" s="85">
        <v>678</v>
      </c>
      <c r="C785" s="85" t="s">
        <v>39</v>
      </c>
      <c r="D785" s="227">
        <v>1.6777574999999842</v>
      </c>
      <c r="G785" s="62"/>
      <c r="H785" s="62"/>
      <c r="I785" s="62"/>
    </row>
    <row r="786" spans="1:9" ht="14.25" customHeight="1">
      <c r="A786" s="84">
        <v>783</v>
      </c>
      <c r="B786" s="85">
        <v>680</v>
      </c>
      <c r="C786" s="85" t="s">
        <v>39</v>
      </c>
      <c r="D786" s="227">
        <v>434</v>
      </c>
      <c r="G786" s="62"/>
      <c r="H786" s="62"/>
      <c r="I786" s="62"/>
    </row>
    <row r="787" spans="1:9" ht="14.25" customHeight="1">
      <c r="A787" s="84">
        <v>784</v>
      </c>
      <c r="B787" s="85">
        <v>683</v>
      </c>
      <c r="C787" s="85" t="s">
        <v>39</v>
      </c>
      <c r="D787" s="227">
        <v>-856.66960000000006</v>
      </c>
      <c r="G787" s="62"/>
      <c r="H787" s="62"/>
      <c r="I787" s="62"/>
    </row>
    <row r="788" spans="1:9" ht="14.25" customHeight="1">
      <c r="A788" s="82">
        <v>785</v>
      </c>
      <c r="B788" s="85">
        <v>687</v>
      </c>
      <c r="C788" s="85" t="s">
        <v>39</v>
      </c>
      <c r="D788" s="227">
        <v>4.9706175000001167</v>
      </c>
      <c r="G788" s="62"/>
      <c r="H788" s="62"/>
      <c r="I788" s="62"/>
    </row>
    <row r="789" spans="1:9" ht="14.25" customHeight="1">
      <c r="A789" s="82">
        <v>786</v>
      </c>
      <c r="B789" s="85">
        <v>688</v>
      </c>
      <c r="C789" s="85" t="s">
        <v>39</v>
      </c>
      <c r="D789" s="227">
        <v>-66.934842500000059</v>
      </c>
      <c r="G789" s="62"/>
      <c r="H789" s="62"/>
      <c r="I789" s="62"/>
    </row>
    <row r="790" spans="1:9" ht="14.25" customHeight="1">
      <c r="A790" s="84">
        <v>787</v>
      </c>
      <c r="B790" s="85">
        <v>689</v>
      </c>
      <c r="C790" s="85" t="s">
        <v>39</v>
      </c>
      <c r="D790" s="227">
        <v>-24.579150000000027</v>
      </c>
      <c r="G790" s="62"/>
      <c r="H790" s="62"/>
      <c r="I790" s="62"/>
    </row>
    <row r="791" spans="1:9" ht="14.25" customHeight="1">
      <c r="A791" s="84">
        <v>788</v>
      </c>
      <c r="B791" s="85">
        <v>695</v>
      </c>
      <c r="C791" s="85" t="s">
        <v>39</v>
      </c>
      <c r="D791" s="227">
        <v>33</v>
      </c>
      <c r="G791" s="62"/>
      <c r="H791" s="62"/>
      <c r="I791" s="62"/>
    </row>
    <row r="792" spans="1:9" ht="14.25" customHeight="1">
      <c r="A792" s="82">
        <v>789</v>
      </c>
      <c r="B792" s="85">
        <v>696</v>
      </c>
      <c r="C792" s="85" t="s">
        <v>39</v>
      </c>
      <c r="D792" s="227">
        <v>-52.071599999999989</v>
      </c>
      <c r="G792" s="62"/>
      <c r="H792" s="62"/>
      <c r="I792" s="62"/>
    </row>
    <row r="793" spans="1:9" ht="14.25" customHeight="1">
      <c r="A793" s="82">
        <v>790</v>
      </c>
      <c r="B793" s="85">
        <v>697</v>
      </c>
      <c r="C793" s="85" t="s">
        <v>39</v>
      </c>
      <c r="D793" s="227">
        <v>204.49127499999997</v>
      </c>
      <c r="G793" s="62"/>
      <c r="H793" s="62"/>
      <c r="I793" s="62"/>
    </row>
    <row r="794" spans="1:9" ht="14.25" customHeight="1">
      <c r="A794" s="84">
        <v>791</v>
      </c>
      <c r="B794" s="85">
        <v>698</v>
      </c>
      <c r="C794" s="85" t="s">
        <v>39</v>
      </c>
      <c r="D794" s="227">
        <v>-23.064000000000192</v>
      </c>
      <c r="G794" s="62"/>
      <c r="H794" s="62"/>
      <c r="I794" s="62"/>
    </row>
    <row r="795" spans="1:9" ht="14.25" customHeight="1">
      <c r="A795" s="84">
        <v>792</v>
      </c>
      <c r="B795" s="85">
        <v>700</v>
      </c>
      <c r="C795" s="85" t="s">
        <v>39</v>
      </c>
      <c r="D795" s="227">
        <v>219.79950500000001</v>
      </c>
      <c r="G795" s="62"/>
      <c r="H795" s="62"/>
      <c r="I795" s="62"/>
    </row>
    <row r="796" spans="1:9" ht="14.25" customHeight="1">
      <c r="A796" s="82">
        <v>793</v>
      </c>
      <c r="B796" s="85">
        <v>703</v>
      </c>
      <c r="C796" s="85" t="s">
        <v>39</v>
      </c>
      <c r="D796" s="227">
        <v>320.83671749999996</v>
      </c>
      <c r="G796" s="62"/>
      <c r="H796" s="62"/>
      <c r="I796" s="62"/>
    </row>
    <row r="797" spans="1:9" ht="14.25" customHeight="1">
      <c r="A797" s="82">
        <v>794</v>
      </c>
      <c r="B797" s="85">
        <v>704</v>
      </c>
      <c r="C797" s="85" t="s">
        <v>39</v>
      </c>
      <c r="D797" s="227">
        <v>195.72790000000009</v>
      </c>
      <c r="G797" s="62"/>
      <c r="H797" s="62"/>
      <c r="I797" s="62"/>
    </row>
    <row r="798" spans="1:9" ht="14.25" customHeight="1">
      <c r="A798" s="84">
        <v>795</v>
      </c>
      <c r="B798" s="85">
        <v>705</v>
      </c>
      <c r="C798" s="85" t="s">
        <v>39</v>
      </c>
      <c r="D798" s="227">
        <v>54.766857500000015</v>
      </c>
      <c r="G798" s="62"/>
      <c r="H798" s="62"/>
      <c r="I798" s="62"/>
    </row>
    <row r="799" spans="1:9" ht="14.25" customHeight="1">
      <c r="A799" s="84">
        <v>796</v>
      </c>
      <c r="B799" s="85">
        <v>706</v>
      </c>
      <c r="C799" s="85" t="s">
        <v>39</v>
      </c>
      <c r="D799" s="227">
        <v>-219.77719124999999</v>
      </c>
      <c r="G799" s="62"/>
      <c r="H799" s="62"/>
      <c r="I799" s="62"/>
    </row>
    <row r="800" spans="1:9" ht="14.25" customHeight="1">
      <c r="A800" s="82">
        <v>797</v>
      </c>
      <c r="B800" s="85">
        <v>714</v>
      </c>
      <c r="C800" s="85" t="s">
        <v>39</v>
      </c>
      <c r="D800" s="227">
        <v>-0.67092000000002372</v>
      </c>
      <c r="G800" s="62"/>
      <c r="H800" s="62"/>
      <c r="I800" s="62"/>
    </row>
    <row r="801" spans="1:9" ht="14.25" customHeight="1">
      <c r="A801" s="82">
        <v>798</v>
      </c>
      <c r="B801" s="85">
        <v>715</v>
      </c>
      <c r="C801" s="85" t="s">
        <v>39</v>
      </c>
      <c r="D801" s="227">
        <v>-19.161024999999995</v>
      </c>
      <c r="G801" s="62"/>
      <c r="H801" s="62"/>
      <c r="I801" s="62"/>
    </row>
    <row r="802" spans="1:9" ht="14.25" customHeight="1">
      <c r="A802" s="84">
        <v>799</v>
      </c>
      <c r="B802" s="85">
        <v>716</v>
      </c>
      <c r="C802" s="85" t="s">
        <v>39</v>
      </c>
      <c r="D802" s="227">
        <v>-34.892400000000066</v>
      </c>
      <c r="G802" s="62"/>
      <c r="H802" s="62"/>
      <c r="I802" s="62"/>
    </row>
    <row r="803" spans="1:9" ht="14.25" customHeight="1">
      <c r="A803" s="84">
        <v>800</v>
      </c>
      <c r="B803" s="85">
        <v>717</v>
      </c>
      <c r="C803" s="85" t="s">
        <v>39</v>
      </c>
      <c r="D803" s="227">
        <v>-9.6083699999999226</v>
      </c>
      <c r="G803" s="62"/>
      <c r="H803" s="62"/>
      <c r="I803" s="62"/>
    </row>
    <row r="804" spans="1:9" ht="14.25" customHeight="1">
      <c r="A804" s="82">
        <v>801</v>
      </c>
      <c r="B804" s="85">
        <v>718</v>
      </c>
      <c r="C804" s="85" t="s">
        <v>39</v>
      </c>
      <c r="D804" s="227">
        <v>46.096437500000093</v>
      </c>
      <c r="G804" s="62"/>
      <c r="H804" s="62"/>
      <c r="I804" s="62"/>
    </row>
    <row r="805" spans="1:9" ht="14.25" customHeight="1">
      <c r="A805" s="82">
        <v>802</v>
      </c>
      <c r="B805" s="85">
        <v>719</v>
      </c>
      <c r="C805" s="85" t="s">
        <v>39</v>
      </c>
      <c r="D805" s="227">
        <v>67.624299999999948</v>
      </c>
      <c r="G805" s="62"/>
      <c r="H805" s="62"/>
      <c r="I805" s="62"/>
    </row>
    <row r="806" spans="1:9" ht="14.25" customHeight="1">
      <c r="A806" s="84">
        <v>803</v>
      </c>
      <c r="B806" s="85">
        <v>722</v>
      </c>
      <c r="C806" s="85" t="s">
        <v>39</v>
      </c>
      <c r="D806" s="227">
        <v>64.173439999999999</v>
      </c>
      <c r="G806" s="62"/>
      <c r="H806" s="62"/>
      <c r="I806" s="62"/>
    </row>
    <row r="807" spans="1:9" ht="14.25" customHeight="1">
      <c r="A807" s="84">
        <v>804</v>
      </c>
      <c r="B807" s="85">
        <v>725</v>
      </c>
      <c r="C807" s="85" t="s">
        <v>39</v>
      </c>
      <c r="D807" s="227">
        <v>7.0448000000000093</v>
      </c>
      <c r="G807" s="62"/>
      <c r="H807" s="62"/>
      <c r="I807" s="62"/>
    </row>
    <row r="808" spans="1:9" ht="14.25" customHeight="1">
      <c r="A808" s="82">
        <v>805</v>
      </c>
      <c r="B808" s="85">
        <v>726</v>
      </c>
      <c r="C808" s="85" t="s">
        <v>39</v>
      </c>
      <c r="D808" s="227">
        <v>295.75093500000003</v>
      </c>
      <c r="G808" s="62"/>
      <c r="H808" s="62"/>
      <c r="I808" s="62"/>
    </row>
    <row r="809" spans="1:9" ht="14.25" customHeight="1">
      <c r="A809" s="82">
        <v>806</v>
      </c>
      <c r="B809" s="85">
        <v>730</v>
      </c>
      <c r="C809" s="85" t="s">
        <v>39</v>
      </c>
      <c r="D809" s="227">
        <v>-11.005799999999908</v>
      </c>
      <c r="G809" s="62"/>
      <c r="H809" s="62"/>
      <c r="I809" s="62"/>
    </row>
    <row r="810" spans="1:9" ht="14.25" customHeight="1">
      <c r="A810" s="84">
        <v>807</v>
      </c>
      <c r="B810" s="85">
        <v>731</v>
      </c>
      <c r="C810" s="85" t="s">
        <v>39</v>
      </c>
      <c r="D810" s="227">
        <v>-39.388239999999996</v>
      </c>
      <c r="G810" s="62"/>
      <c r="H810" s="62"/>
      <c r="I810" s="62"/>
    </row>
    <row r="811" spans="1:9" ht="14.25" customHeight="1">
      <c r="A811" s="84">
        <v>808</v>
      </c>
      <c r="B811" s="85">
        <v>732</v>
      </c>
      <c r="C811" s="85" t="s">
        <v>39</v>
      </c>
      <c r="D811" s="227">
        <v>-285.74824999999987</v>
      </c>
      <c r="G811" s="62"/>
      <c r="H811" s="62"/>
      <c r="I811" s="62"/>
    </row>
    <row r="812" spans="1:9" ht="14.25" customHeight="1">
      <c r="A812" s="82">
        <v>809</v>
      </c>
      <c r="B812" s="85">
        <v>733</v>
      </c>
      <c r="C812" s="85" t="s">
        <v>39</v>
      </c>
      <c r="D812" s="227">
        <v>166.1085374999999</v>
      </c>
      <c r="G812" s="62"/>
      <c r="H812" s="62"/>
      <c r="I812" s="62"/>
    </row>
    <row r="813" spans="1:9" ht="14.25" customHeight="1">
      <c r="A813" s="82">
        <v>810</v>
      </c>
      <c r="B813" s="85">
        <v>734</v>
      </c>
      <c r="C813" s="85" t="s">
        <v>39</v>
      </c>
      <c r="D813" s="227">
        <v>164.25</v>
      </c>
      <c r="G813" s="62"/>
      <c r="H813" s="62"/>
      <c r="I813" s="62"/>
    </row>
    <row r="814" spans="1:9" ht="14.25" customHeight="1">
      <c r="A814" s="84">
        <v>811</v>
      </c>
      <c r="B814" s="85">
        <v>735</v>
      </c>
      <c r="C814" s="85" t="s">
        <v>39</v>
      </c>
      <c r="D814" s="227">
        <v>-113.33999999999995</v>
      </c>
      <c r="G814" s="62"/>
      <c r="H814" s="62"/>
      <c r="I814" s="62"/>
    </row>
    <row r="815" spans="1:9" ht="14.25" customHeight="1">
      <c r="A815" s="84">
        <v>812</v>
      </c>
      <c r="B815" s="85">
        <v>737</v>
      </c>
      <c r="C815" s="85" t="s">
        <v>39</v>
      </c>
      <c r="D815" s="227">
        <v>28.058459999999968</v>
      </c>
      <c r="G815" s="62"/>
      <c r="H815" s="62"/>
      <c r="I815" s="62"/>
    </row>
    <row r="816" spans="1:9" ht="14.25" customHeight="1">
      <c r="A816" s="82">
        <v>813</v>
      </c>
      <c r="B816" s="85">
        <v>743</v>
      </c>
      <c r="C816" s="85" t="s">
        <v>39</v>
      </c>
      <c r="D816" s="227">
        <v>-54.022337499999935</v>
      </c>
      <c r="G816" s="62"/>
      <c r="H816" s="62"/>
      <c r="I816" s="62"/>
    </row>
    <row r="817" spans="1:9" ht="14.25" customHeight="1">
      <c r="A817" s="82">
        <v>814</v>
      </c>
      <c r="B817" s="85">
        <v>745</v>
      </c>
      <c r="C817" s="85" t="s">
        <v>39</v>
      </c>
      <c r="D817" s="227">
        <v>-297.00258500000001</v>
      </c>
      <c r="G817" s="62"/>
      <c r="H817" s="62"/>
      <c r="I817" s="62"/>
    </row>
    <row r="818" spans="1:9" ht="14.25" customHeight="1">
      <c r="A818" s="84">
        <v>815</v>
      </c>
      <c r="B818" s="85">
        <v>747</v>
      </c>
      <c r="C818" s="85" t="s">
        <v>39</v>
      </c>
      <c r="D818" s="227">
        <v>-73.958899999999971</v>
      </c>
      <c r="G818" s="62"/>
      <c r="H818" s="62"/>
      <c r="I818" s="62"/>
    </row>
    <row r="819" spans="1:9" ht="14.25" customHeight="1">
      <c r="A819" s="84">
        <v>816</v>
      </c>
      <c r="B819" s="85">
        <v>749</v>
      </c>
      <c r="C819" s="85" t="s">
        <v>39</v>
      </c>
      <c r="D819" s="227">
        <v>1.4399999999999693</v>
      </c>
      <c r="G819" s="62"/>
      <c r="H819" s="62"/>
      <c r="I819" s="62"/>
    </row>
    <row r="820" spans="1:9" ht="14.25" customHeight="1">
      <c r="A820" s="82">
        <v>817</v>
      </c>
      <c r="B820" s="85">
        <v>751</v>
      </c>
      <c r="C820" s="85" t="s">
        <v>39</v>
      </c>
      <c r="D820" s="227">
        <v>13.535300000000007</v>
      </c>
      <c r="G820" s="62"/>
      <c r="H820" s="62"/>
      <c r="I820" s="62"/>
    </row>
    <row r="821" spans="1:9" ht="14.25" customHeight="1">
      <c r="A821" s="82">
        <v>818</v>
      </c>
      <c r="B821" s="85">
        <v>752</v>
      </c>
      <c r="C821" s="85" t="s">
        <v>39</v>
      </c>
      <c r="D821" s="227">
        <v>-116.74573999999996</v>
      </c>
      <c r="G821" s="62"/>
      <c r="H821" s="62"/>
      <c r="I821" s="62"/>
    </row>
    <row r="822" spans="1:9" ht="14.25" customHeight="1">
      <c r="A822" s="84">
        <v>819</v>
      </c>
      <c r="B822" s="85">
        <v>759</v>
      </c>
      <c r="C822" s="85" t="s">
        <v>39</v>
      </c>
      <c r="D822" s="227">
        <v>59.632199999999955</v>
      </c>
      <c r="G822" s="62"/>
      <c r="H822" s="62"/>
      <c r="I822" s="62"/>
    </row>
    <row r="823" spans="1:9" ht="14.25" customHeight="1">
      <c r="A823" s="84">
        <v>820</v>
      </c>
      <c r="B823" s="85">
        <v>761</v>
      </c>
      <c r="C823" s="85" t="s">
        <v>39</v>
      </c>
      <c r="D823" s="227">
        <v>46.700000000000045</v>
      </c>
      <c r="G823" s="62"/>
      <c r="H823" s="62"/>
      <c r="I823" s="62"/>
    </row>
    <row r="824" spans="1:9" ht="14.25" customHeight="1">
      <c r="A824" s="82">
        <v>821</v>
      </c>
      <c r="B824" s="85">
        <v>762</v>
      </c>
      <c r="C824" s="85" t="s">
        <v>39</v>
      </c>
      <c r="D824" s="227">
        <v>-56</v>
      </c>
      <c r="G824" s="62"/>
      <c r="H824" s="62"/>
      <c r="I824" s="62"/>
    </row>
    <row r="825" spans="1:9" ht="14.25" customHeight="1">
      <c r="A825" s="82">
        <v>822</v>
      </c>
      <c r="B825" s="85">
        <v>763</v>
      </c>
      <c r="C825" s="85" t="s">
        <v>39</v>
      </c>
      <c r="D825" s="227">
        <v>52.841617500000098</v>
      </c>
      <c r="G825" s="62"/>
      <c r="H825" s="62"/>
      <c r="I825" s="62"/>
    </row>
    <row r="826" spans="1:9" ht="14.25" customHeight="1">
      <c r="A826" s="84">
        <v>823</v>
      </c>
      <c r="B826" s="85">
        <v>764</v>
      </c>
      <c r="C826" s="85" t="s">
        <v>39</v>
      </c>
      <c r="D826" s="227">
        <v>-158.98229999999995</v>
      </c>
      <c r="G826" s="62"/>
      <c r="H826" s="62"/>
      <c r="I826" s="62"/>
    </row>
    <row r="827" spans="1:9" ht="14.25" customHeight="1">
      <c r="A827" s="84">
        <v>824</v>
      </c>
      <c r="B827" s="85">
        <v>765</v>
      </c>
      <c r="C827" s="85" t="s">
        <v>39</v>
      </c>
      <c r="D827" s="227">
        <v>246.60615750000011</v>
      </c>
      <c r="G827" s="62"/>
      <c r="H827" s="62"/>
      <c r="I827" s="62"/>
    </row>
    <row r="828" spans="1:9" ht="14.25" customHeight="1">
      <c r="A828" s="82">
        <v>825</v>
      </c>
      <c r="B828" s="85">
        <v>766</v>
      </c>
      <c r="C828" s="85" t="s">
        <v>39</v>
      </c>
      <c r="D828" s="227">
        <v>-25.18849124999997</v>
      </c>
      <c r="G828" s="62"/>
      <c r="H828" s="62"/>
      <c r="I828" s="62"/>
    </row>
    <row r="829" spans="1:9" ht="14.25" customHeight="1">
      <c r="A829" s="82">
        <v>826</v>
      </c>
      <c r="B829" s="85">
        <v>767</v>
      </c>
      <c r="C829" s="85" t="s">
        <v>39</v>
      </c>
      <c r="D829" s="227">
        <v>-131.87160000000006</v>
      </c>
      <c r="G829" s="62"/>
      <c r="H829" s="62"/>
      <c r="I829" s="62"/>
    </row>
    <row r="830" spans="1:9" ht="14.25" customHeight="1">
      <c r="A830" s="84">
        <v>827</v>
      </c>
      <c r="B830" s="85">
        <v>768</v>
      </c>
      <c r="C830" s="85" t="s">
        <v>39</v>
      </c>
      <c r="D830" s="227">
        <v>-62</v>
      </c>
      <c r="G830" s="62"/>
      <c r="H830" s="62"/>
      <c r="I830" s="62"/>
    </row>
    <row r="831" spans="1:9" ht="14.25" customHeight="1">
      <c r="A831" s="84">
        <v>828</v>
      </c>
      <c r="B831" s="85">
        <v>771</v>
      </c>
      <c r="C831" s="85" t="s">
        <v>39</v>
      </c>
      <c r="D831" s="227">
        <v>235.33031249999999</v>
      </c>
      <c r="G831" s="62"/>
      <c r="H831" s="62"/>
      <c r="I831" s="62"/>
    </row>
    <row r="832" spans="1:9" ht="14.25" customHeight="1">
      <c r="A832" s="82">
        <v>829</v>
      </c>
      <c r="B832" s="85">
        <v>777</v>
      </c>
      <c r="C832" s="85" t="s">
        <v>39</v>
      </c>
      <c r="D832" s="227">
        <v>-156.87479999999994</v>
      </c>
      <c r="G832" s="62"/>
      <c r="H832" s="62"/>
      <c r="I832" s="62"/>
    </row>
    <row r="833" spans="1:9" ht="14.25" customHeight="1">
      <c r="A833" s="82">
        <v>830</v>
      </c>
      <c r="B833" s="85">
        <v>779</v>
      </c>
      <c r="C833" s="85" t="s">
        <v>39</v>
      </c>
      <c r="D833" s="227">
        <v>136.03163999999998</v>
      </c>
      <c r="G833" s="62"/>
      <c r="H833" s="62"/>
      <c r="I833" s="62"/>
    </row>
    <row r="834" spans="1:9" ht="14.25" customHeight="1">
      <c r="A834" s="84">
        <v>831</v>
      </c>
      <c r="B834" s="85">
        <v>784</v>
      </c>
      <c r="C834" s="85" t="s">
        <v>39</v>
      </c>
      <c r="D834" s="227">
        <v>-49.847891249999975</v>
      </c>
      <c r="G834" s="62"/>
      <c r="H834" s="62"/>
      <c r="I834" s="62"/>
    </row>
    <row r="835" spans="1:9" ht="14.25" customHeight="1">
      <c r="A835" s="84">
        <v>832</v>
      </c>
      <c r="B835" s="85">
        <v>785</v>
      </c>
      <c r="C835" s="85" t="s">
        <v>39</v>
      </c>
      <c r="D835" s="227">
        <v>111.82367999999997</v>
      </c>
      <c r="G835" s="62"/>
      <c r="H835" s="62"/>
      <c r="I835" s="62"/>
    </row>
    <row r="836" spans="1:9" ht="14.25" customHeight="1">
      <c r="A836" s="84">
        <v>833</v>
      </c>
      <c r="B836" s="85">
        <v>786</v>
      </c>
      <c r="C836" s="85" t="s">
        <v>39</v>
      </c>
      <c r="D836" s="227">
        <v>302.12933499999997</v>
      </c>
      <c r="G836" s="62"/>
      <c r="H836" s="62"/>
      <c r="I836" s="62"/>
    </row>
    <row r="837" spans="1:9" ht="14.25" customHeight="1">
      <c r="A837" s="82">
        <v>834</v>
      </c>
      <c r="B837" s="85">
        <v>787</v>
      </c>
      <c r="C837" s="85" t="s">
        <v>39</v>
      </c>
      <c r="D837" s="227">
        <v>236.52285749999999</v>
      </c>
      <c r="G837" s="62"/>
      <c r="H837" s="62"/>
      <c r="I837" s="62"/>
    </row>
    <row r="838" spans="1:9" ht="14.25" customHeight="1">
      <c r="A838" s="82">
        <v>835</v>
      </c>
      <c r="B838" s="85">
        <v>788</v>
      </c>
      <c r="C838" s="85" t="s">
        <v>39</v>
      </c>
      <c r="D838" s="227">
        <v>-208.73292000000001</v>
      </c>
      <c r="G838" s="62"/>
      <c r="H838" s="62"/>
      <c r="I838" s="62"/>
    </row>
    <row r="839" spans="1:9" ht="14.25" customHeight="1">
      <c r="A839" s="84">
        <v>836</v>
      </c>
      <c r="B839" s="85">
        <v>789</v>
      </c>
      <c r="C839" s="85" t="s">
        <v>39</v>
      </c>
      <c r="D839" s="227">
        <v>-144.86958000000004</v>
      </c>
      <c r="G839" s="62"/>
      <c r="H839" s="62"/>
      <c r="I839" s="62"/>
    </row>
    <row r="840" spans="1:9" ht="14.25" customHeight="1">
      <c r="A840" s="84">
        <v>837</v>
      </c>
      <c r="B840" s="85">
        <v>790</v>
      </c>
      <c r="C840" s="85" t="s">
        <v>39</v>
      </c>
      <c r="D840" s="227">
        <v>102.02600000000001</v>
      </c>
      <c r="G840" s="62"/>
      <c r="H840" s="62"/>
      <c r="I840" s="62"/>
    </row>
    <row r="841" spans="1:9" ht="14.25" customHeight="1">
      <c r="A841" s="82">
        <v>838</v>
      </c>
      <c r="B841" s="85">
        <v>793</v>
      </c>
      <c r="C841" s="85" t="s">
        <v>39</v>
      </c>
      <c r="D841" s="227">
        <v>-21.87639999999999</v>
      </c>
      <c r="G841" s="62"/>
      <c r="H841" s="62"/>
      <c r="I841" s="62"/>
    </row>
    <row r="842" spans="1:9" ht="14.25" customHeight="1">
      <c r="A842" s="82">
        <v>839</v>
      </c>
      <c r="B842" s="85">
        <v>794</v>
      </c>
      <c r="C842" s="85" t="s">
        <v>39</v>
      </c>
      <c r="D842" s="227">
        <v>99.609000000000037</v>
      </c>
      <c r="G842" s="62"/>
      <c r="H842" s="62"/>
      <c r="I842" s="62"/>
    </row>
    <row r="843" spans="1:9" ht="14.25" customHeight="1">
      <c r="A843" s="84">
        <v>840</v>
      </c>
      <c r="B843" s="85">
        <v>795</v>
      </c>
      <c r="C843" s="85" t="s">
        <v>39</v>
      </c>
      <c r="D843" s="227">
        <v>-41.5</v>
      </c>
      <c r="G843" s="62"/>
      <c r="H843" s="62"/>
      <c r="I843" s="62"/>
    </row>
    <row r="844" spans="1:9" ht="14.25" customHeight="1">
      <c r="A844" s="84">
        <v>841</v>
      </c>
      <c r="B844" s="85">
        <v>796</v>
      </c>
      <c r="C844" s="85" t="s">
        <v>39</v>
      </c>
      <c r="D844" s="227">
        <v>-78.807900000000245</v>
      </c>
      <c r="G844" s="62"/>
      <c r="H844" s="62"/>
      <c r="I844" s="62"/>
    </row>
    <row r="845" spans="1:9" ht="14.25" customHeight="1">
      <c r="A845" s="82">
        <v>842</v>
      </c>
      <c r="B845" s="85">
        <v>797</v>
      </c>
      <c r="C845" s="85" t="s">
        <v>39</v>
      </c>
      <c r="D845" s="227">
        <v>-137.63787000000002</v>
      </c>
      <c r="G845" s="62"/>
      <c r="H845" s="62"/>
      <c r="I845" s="62"/>
    </row>
    <row r="846" spans="1:9" ht="14.25" customHeight="1">
      <c r="A846" s="82">
        <v>843</v>
      </c>
      <c r="B846" s="85">
        <v>798</v>
      </c>
      <c r="C846" s="85" t="s">
        <v>39</v>
      </c>
      <c r="D846" s="227">
        <v>-66.747641250000015</v>
      </c>
      <c r="G846" s="62"/>
      <c r="H846" s="62"/>
      <c r="I846" s="62"/>
    </row>
    <row r="847" spans="1:9" ht="14.25" customHeight="1">
      <c r="A847" s="84">
        <v>844</v>
      </c>
      <c r="B847" s="85">
        <v>799</v>
      </c>
      <c r="C847" s="85" t="s">
        <v>39</v>
      </c>
      <c r="D847" s="227">
        <v>232.42079999999999</v>
      </c>
      <c r="G847" s="62"/>
      <c r="H847" s="62"/>
      <c r="I847" s="62"/>
    </row>
    <row r="848" spans="1:9" ht="14.25" customHeight="1">
      <c r="A848" s="84">
        <v>845</v>
      </c>
      <c r="B848" s="85">
        <v>800</v>
      </c>
      <c r="C848" s="85" t="s">
        <v>39</v>
      </c>
      <c r="D848" s="229">
        <v>597.79999999999995</v>
      </c>
      <c r="G848" s="62"/>
      <c r="H848" s="62"/>
      <c r="I848" s="62"/>
    </row>
    <row r="849" spans="1:9" ht="14.25" customHeight="1">
      <c r="A849" s="82">
        <v>846</v>
      </c>
      <c r="B849" s="85">
        <v>804</v>
      </c>
      <c r="C849" s="85" t="s">
        <v>39</v>
      </c>
      <c r="D849" s="227">
        <v>-52.10205499999995</v>
      </c>
      <c r="G849" s="62"/>
      <c r="H849" s="62"/>
      <c r="I849" s="62"/>
    </row>
    <row r="850" spans="1:9" ht="14.25" customHeight="1">
      <c r="A850" s="82">
        <v>847</v>
      </c>
      <c r="B850" s="85">
        <v>805</v>
      </c>
      <c r="C850" s="85" t="s">
        <v>39</v>
      </c>
      <c r="D850" s="227">
        <v>-176.25987499999997</v>
      </c>
      <c r="G850" s="62"/>
      <c r="H850" s="62"/>
      <c r="I850" s="62"/>
    </row>
    <row r="851" spans="1:9" ht="14.25" customHeight="1">
      <c r="A851" s="84">
        <v>848</v>
      </c>
      <c r="B851" s="85">
        <v>806</v>
      </c>
      <c r="C851" s="85" t="s">
        <v>39</v>
      </c>
      <c r="D851" s="227">
        <v>-63.279162499999984</v>
      </c>
      <c r="G851" s="62"/>
      <c r="H851" s="62"/>
      <c r="I851" s="62"/>
    </row>
    <row r="852" spans="1:9" ht="14.25" customHeight="1">
      <c r="A852" s="84">
        <v>849</v>
      </c>
      <c r="B852" s="85">
        <v>807</v>
      </c>
      <c r="C852" s="85" t="s">
        <v>39</v>
      </c>
      <c r="D852" s="227">
        <v>-154.70880000000002</v>
      </c>
      <c r="G852" s="62"/>
      <c r="H852" s="62"/>
      <c r="I852" s="62"/>
    </row>
    <row r="853" spans="1:9" ht="14.25" customHeight="1">
      <c r="A853" s="82">
        <v>850</v>
      </c>
      <c r="B853" s="85">
        <v>808</v>
      </c>
      <c r="C853" s="85" t="s">
        <v>39</v>
      </c>
      <c r="D853" s="227">
        <v>129.94242000000008</v>
      </c>
      <c r="G853" s="62"/>
      <c r="H853" s="62"/>
      <c r="I853" s="62"/>
    </row>
    <row r="854" spans="1:9" ht="14.25" customHeight="1">
      <c r="A854" s="82">
        <v>851</v>
      </c>
      <c r="B854" s="85">
        <v>809</v>
      </c>
      <c r="C854" s="85" t="s">
        <v>39</v>
      </c>
      <c r="D854" s="227">
        <v>-25.279099999999744</v>
      </c>
      <c r="G854" s="62"/>
      <c r="H854" s="62"/>
      <c r="I854" s="62"/>
    </row>
    <row r="855" spans="1:9" ht="14.25" customHeight="1">
      <c r="A855" s="84">
        <v>852</v>
      </c>
      <c r="B855" s="85">
        <v>810</v>
      </c>
      <c r="C855" s="85" t="s">
        <v>39</v>
      </c>
      <c r="D855" s="227">
        <v>255.47145750000016</v>
      </c>
      <c r="G855" s="62"/>
      <c r="H855" s="62"/>
      <c r="I855" s="62"/>
    </row>
    <row r="856" spans="1:9" ht="14.25" customHeight="1">
      <c r="A856" s="84">
        <v>853</v>
      </c>
      <c r="B856" s="85">
        <v>811</v>
      </c>
      <c r="C856" s="85" t="s">
        <v>39</v>
      </c>
      <c r="D856" s="227">
        <v>-264.51937999999996</v>
      </c>
      <c r="G856" s="62"/>
      <c r="H856" s="62"/>
      <c r="I856" s="62"/>
    </row>
    <row r="857" spans="1:9" ht="14.25" customHeight="1">
      <c r="A857" s="82">
        <v>854</v>
      </c>
      <c r="B857" s="85">
        <v>812</v>
      </c>
      <c r="C857" s="85" t="s">
        <v>39</v>
      </c>
      <c r="D857" s="227">
        <v>-61.60069500000003</v>
      </c>
      <c r="G857" s="62"/>
      <c r="H857" s="62"/>
      <c r="I857" s="62"/>
    </row>
    <row r="858" spans="1:9" ht="14.25" customHeight="1">
      <c r="A858" s="82">
        <v>855</v>
      </c>
      <c r="B858" s="85">
        <v>815</v>
      </c>
      <c r="C858" s="85" t="s">
        <v>39</v>
      </c>
      <c r="D858" s="227">
        <v>-278</v>
      </c>
      <c r="G858" s="62"/>
      <c r="H858" s="62"/>
      <c r="I858" s="62"/>
    </row>
    <row r="859" spans="1:9" ht="14.25" customHeight="1">
      <c r="A859" s="84">
        <v>856</v>
      </c>
      <c r="B859" s="85">
        <v>819</v>
      </c>
      <c r="C859" s="85" t="s">
        <v>39</v>
      </c>
      <c r="D859" s="227">
        <v>-75.719719999999938</v>
      </c>
      <c r="G859" s="62"/>
      <c r="H859" s="62"/>
      <c r="I859" s="62"/>
    </row>
    <row r="860" spans="1:9" ht="14.25" customHeight="1">
      <c r="A860" s="84">
        <v>857</v>
      </c>
      <c r="B860" s="85">
        <v>821</v>
      </c>
      <c r="C860" s="85" t="s">
        <v>39</v>
      </c>
      <c r="D860" s="227">
        <v>60.965400000000045</v>
      </c>
      <c r="G860" s="62"/>
      <c r="H860" s="62"/>
      <c r="I860" s="62"/>
    </row>
    <row r="861" spans="1:9" ht="14.25" customHeight="1">
      <c r="A861" s="82">
        <v>858</v>
      </c>
      <c r="B861" s="85">
        <v>822</v>
      </c>
      <c r="C861" s="85" t="s">
        <v>39</v>
      </c>
      <c r="D861" s="227">
        <v>-11.815982500000018</v>
      </c>
      <c r="G861" s="62"/>
      <c r="H861" s="62"/>
      <c r="I861" s="62"/>
    </row>
    <row r="862" spans="1:9" ht="14.25" customHeight="1">
      <c r="A862" s="82">
        <v>859</v>
      </c>
      <c r="B862" s="85">
        <v>824</v>
      </c>
      <c r="C862" s="85" t="s">
        <v>39</v>
      </c>
      <c r="D862" s="227">
        <v>-45.321000000000026</v>
      </c>
      <c r="G862" s="62"/>
      <c r="H862" s="62"/>
      <c r="I862" s="62"/>
    </row>
    <row r="863" spans="1:9" ht="14.25" customHeight="1">
      <c r="A863" s="84">
        <v>860</v>
      </c>
      <c r="B863" s="85">
        <v>825</v>
      </c>
      <c r="C863" s="85" t="s">
        <v>39</v>
      </c>
      <c r="D863" s="227">
        <v>-41.029999999999973</v>
      </c>
      <c r="G863" s="62"/>
      <c r="H863" s="62"/>
      <c r="I863" s="62"/>
    </row>
    <row r="864" spans="1:9" ht="14.25" customHeight="1">
      <c r="A864" s="84">
        <v>861</v>
      </c>
      <c r="B864" s="85">
        <v>827</v>
      </c>
      <c r="C864" s="85" t="s">
        <v>39</v>
      </c>
      <c r="D864" s="227">
        <v>250</v>
      </c>
      <c r="G864" s="62"/>
      <c r="H864" s="62"/>
      <c r="I864" s="62"/>
    </row>
    <row r="865" spans="1:9" ht="14.25" customHeight="1">
      <c r="A865" s="82">
        <v>862</v>
      </c>
      <c r="B865" s="85">
        <v>830</v>
      </c>
      <c r="C865" s="85" t="s">
        <v>39</v>
      </c>
      <c r="D865" s="227">
        <v>113.78086000000002</v>
      </c>
      <c r="G865" s="62"/>
      <c r="H865" s="62"/>
      <c r="I865" s="62"/>
    </row>
    <row r="866" spans="1:9" ht="14.25" customHeight="1">
      <c r="A866" s="82">
        <v>863</v>
      </c>
      <c r="B866" s="85">
        <v>831</v>
      </c>
      <c r="C866" s="85" t="s">
        <v>39</v>
      </c>
      <c r="D866" s="227">
        <v>70.42</v>
      </c>
      <c r="G866" s="62"/>
      <c r="H866" s="62"/>
      <c r="I866" s="62"/>
    </row>
    <row r="867" spans="1:9" ht="14.25" customHeight="1">
      <c r="A867" s="84">
        <v>864</v>
      </c>
      <c r="B867" s="85">
        <v>835</v>
      </c>
      <c r="C867" s="85" t="s">
        <v>39</v>
      </c>
      <c r="D867" s="227">
        <v>57.65864000000002</v>
      </c>
      <c r="G867" s="62"/>
      <c r="H867" s="62"/>
      <c r="I867" s="62"/>
    </row>
    <row r="868" spans="1:9" ht="14.25" customHeight="1">
      <c r="A868" s="84">
        <v>865</v>
      </c>
      <c r="B868" s="85">
        <v>836</v>
      </c>
      <c r="C868" s="85" t="s">
        <v>39</v>
      </c>
      <c r="D868" s="227">
        <v>9.6211562499999843</v>
      </c>
      <c r="G868" s="62"/>
      <c r="H868" s="62"/>
      <c r="I868" s="62"/>
    </row>
    <row r="869" spans="1:9" ht="14.25" customHeight="1">
      <c r="A869" s="82">
        <v>866</v>
      </c>
      <c r="B869" s="85">
        <v>837</v>
      </c>
      <c r="C869" s="85" t="s">
        <v>39</v>
      </c>
      <c r="D869" s="227">
        <v>92.27687499999999</v>
      </c>
      <c r="G869" s="62"/>
      <c r="H869" s="62"/>
      <c r="I869" s="62"/>
    </row>
    <row r="870" spans="1:9" ht="14.25" customHeight="1">
      <c r="A870" s="82">
        <v>867</v>
      </c>
      <c r="B870" s="85">
        <v>840</v>
      </c>
      <c r="C870" s="85" t="s">
        <v>39</v>
      </c>
      <c r="D870" s="227">
        <v>-321.62400000000002</v>
      </c>
      <c r="G870" s="62"/>
      <c r="H870" s="62"/>
      <c r="I870" s="62"/>
    </row>
    <row r="871" spans="1:9" ht="14.25" customHeight="1">
      <c r="A871" s="84">
        <v>868</v>
      </c>
      <c r="B871" s="85">
        <v>845</v>
      </c>
      <c r="C871" s="85" t="s">
        <v>39</v>
      </c>
      <c r="D871" s="227">
        <v>50.68649999999991</v>
      </c>
      <c r="G871" s="62"/>
      <c r="H871" s="62"/>
      <c r="I871" s="62"/>
    </row>
    <row r="872" spans="1:9" ht="14.25" customHeight="1">
      <c r="A872" s="84">
        <v>869</v>
      </c>
      <c r="B872" s="85">
        <v>846</v>
      </c>
      <c r="C872" s="85" t="s">
        <v>39</v>
      </c>
      <c r="D872" s="227">
        <v>-81.575600000000122</v>
      </c>
      <c r="G872" s="62"/>
      <c r="H872" s="62"/>
      <c r="I872" s="62"/>
    </row>
    <row r="873" spans="1:9" ht="14.25" customHeight="1">
      <c r="A873" s="82">
        <v>870</v>
      </c>
      <c r="B873" s="85">
        <v>850</v>
      </c>
      <c r="C873" s="85" t="s">
        <v>39</v>
      </c>
      <c r="D873" s="227">
        <v>172.91781499999999</v>
      </c>
      <c r="G873" s="62"/>
      <c r="H873" s="62"/>
      <c r="I873" s="62"/>
    </row>
    <row r="874" spans="1:9" ht="14.25" customHeight="1">
      <c r="A874" s="82">
        <v>871</v>
      </c>
      <c r="B874" s="85">
        <v>852</v>
      </c>
      <c r="C874" s="85" t="s">
        <v>39</v>
      </c>
      <c r="D874" s="227">
        <v>-80</v>
      </c>
      <c r="G874" s="62"/>
      <c r="H874" s="62"/>
      <c r="I874" s="62"/>
    </row>
    <row r="875" spans="1:9" ht="14.25" customHeight="1">
      <c r="A875" s="84">
        <v>872</v>
      </c>
      <c r="B875" s="85">
        <v>853</v>
      </c>
      <c r="C875" s="85" t="s">
        <v>39</v>
      </c>
      <c r="D875" s="227">
        <v>-101.78200000000004</v>
      </c>
      <c r="G875" s="62"/>
      <c r="H875" s="62"/>
      <c r="I875" s="62"/>
    </row>
    <row r="876" spans="1:9" ht="14.25" customHeight="1">
      <c r="A876" s="84">
        <v>873</v>
      </c>
      <c r="B876" s="85">
        <v>854</v>
      </c>
      <c r="C876" s="85" t="s">
        <v>39</v>
      </c>
      <c r="D876" s="227">
        <v>-32</v>
      </c>
      <c r="G876" s="62"/>
      <c r="H876" s="62"/>
      <c r="I876" s="62"/>
    </row>
    <row r="877" spans="1:9" ht="14.25" customHeight="1">
      <c r="A877" s="82">
        <v>874</v>
      </c>
      <c r="B877" s="85">
        <v>855</v>
      </c>
      <c r="C877" s="85" t="s">
        <v>39</v>
      </c>
      <c r="D877" s="227">
        <v>-26.263599999999883</v>
      </c>
      <c r="G877" s="62"/>
      <c r="H877" s="62"/>
      <c r="I877" s="62"/>
    </row>
    <row r="878" spans="1:9" ht="14.25" customHeight="1">
      <c r="A878" s="82">
        <v>875</v>
      </c>
      <c r="B878" s="85">
        <v>856</v>
      </c>
      <c r="C878" s="85" t="s">
        <v>39</v>
      </c>
      <c r="D878" s="227">
        <v>-160.46536499999991</v>
      </c>
      <c r="G878" s="62"/>
      <c r="H878" s="62"/>
      <c r="I878" s="62"/>
    </row>
    <row r="879" spans="1:9" ht="14.25" customHeight="1">
      <c r="A879" s="84">
        <v>876</v>
      </c>
      <c r="B879" s="85">
        <v>860</v>
      </c>
      <c r="C879" s="85" t="s">
        <v>39</v>
      </c>
      <c r="D879" s="227">
        <v>-134.63199999999995</v>
      </c>
      <c r="G879" s="62"/>
      <c r="H879" s="62"/>
      <c r="I879" s="62"/>
    </row>
    <row r="880" spans="1:9" ht="14.25" customHeight="1">
      <c r="A880" s="84">
        <v>877</v>
      </c>
      <c r="B880" s="85">
        <v>865</v>
      </c>
      <c r="C880" s="85" t="s">
        <v>39</v>
      </c>
      <c r="D880" s="227">
        <v>-156</v>
      </c>
      <c r="G880" s="62"/>
      <c r="H880" s="62"/>
      <c r="I880" s="62"/>
    </row>
    <row r="881" spans="1:9" ht="14.25" customHeight="1">
      <c r="A881" s="82">
        <v>878</v>
      </c>
      <c r="B881" s="85">
        <v>868</v>
      </c>
      <c r="C881" s="85" t="s">
        <v>39</v>
      </c>
      <c r="D881" s="227">
        <v>-61.470667499999877</v>
      </c>
      <c r="G881" s="62"/>
      <c r="H881" s="62"/>
      <c r="I881" s="62"/>
    </row>
    <row r="882" spans="1:9" ht="14.25" customHeight="1">
      <c r="A882" s="82">
        <v>879</v>
      </c>
      <c r="B882" s="85">
        <v>879</v>
      </c>
      <c r="C882" s="85" t="s">
        <v>39</v>
      </c>
      <c r="D882" s="227">
        <v>128.44612875000007</v>
      </c>
      <c r="G882" s="62"/>
      <c r="H882" s="62"/>
      <c r="I882" s="62"/>
    </row>
    <row r="883" spans="1:9" ht="14.25" customHeight="1">
      <c r="A883" s="84">
        <v>880</v>
      </c>
      <c r="B883" s="85">
        <v>880</v>
      </c>
      <c r="C883" s="85" t="s">
        <v>39</v>
      </c>
      <c r="D883" s="227">
        <v>159.93900000000002</v>
      </c>
      <c r="G883" s="62"/>
      <c r="H883" s="62"/>
      <c r="I883" s="62"/>
    </row>
    <row r="884" spans="1:9" ht="14.25" customHeight="1">
      <c r="A884" s="84">
        <v>881</v>
      </c>
      <c r="B884" s="85">
        <v>881</v>
      </c>
      <c r="C884" s="85" t="s">
        <v>39</v>
      </c>
      <c r="D884" s="227">
        <v>145.38411749999995</v>
      </c>
      <c r="G884" s="62"/>
      <c r="H884" s="62"/>
      <c r="I884" s="62"/>
    </row>
    <row r="885" spans="1:9" ht="14.25" customHeight="1">
      <c r="A885" s="82">
        <v>882</v>
      </c>
      <c r="B885" s="85">
        <v>882</v>
      </c>
      <c r="C885" s="85" t="s">
        <v>39</v>
      </c>
      <c r="D885" s="227">
        <v>-735.46429999999998</v>
      </c>
      <c r="G885" s="62"/>
      <c r="H885" s="62"/>
      <c r="I885" s="62"/>
    </row>
    <row r="886" spans="1:9" ht="14.25" customHeight="1">
      <c r="A886" s="82">
        <v>883</v>
      </c>
      <c r="B886" s="85">
        <v>883</v>
      </c>
      <c r="C886" s="85" t="s">
        <v>39</v>
      </c>
      <c r="D886" s="227">
        <v>-28</v>
      </c>
      <c r="G886" s="62"/>
      <c r="H886" s="62"/>
      <c r="I886" s="62"/>
    </row>
    <row r="887" spans="1:9" ht="14.25" customHeight="1">
      <c r="A887" s="84">
        <v>884</v>
      </c>
      <c r="B887" s="85">
        <v>884</v>
      </c>
      <c r="C887" s="85" t="s">
        <v>39</v>
      </c>
      <c r="D887" s="227">
        <v>-71.166200000000231</v>
      </c>
      <c r="G887" s="62"/>
      <c r="H887" s="62"/>
      <c r="I887" s="62"/>
    </row>
    <row r="888" spans="1:9" ht="14.25" customHeight="1">
      <c r="A888" s="84">
        <v>885</v>
      </c>
      <c r="B888" s="85">
        <v>886</v>
      </c>
      <c r="C888" s="85" t="s">
        <v>39</v>
      </c>
      <c r="D888" s="227">
        <v>103.83460000000002</v>
      </c>
      <c r="G888" s="62"/>
      <c r="H888" s="62"/>
      <c r="I888" s="62"/>
    </row>
    <row r="889" spans="1:9" ht="14.25" customHeight="1">
      <c r="A889" s="82">
        <v>886</v>
      </c>
      <c r="B889" s="85">
        <v>887</v>
      </c>
      <c r="C889" s="85" t="s">
        <v>39</v>
      </c>
      <c r="D889" s="227">
        <v>-214.08023875000003</v>
      </c>
      <c r="G889" s="62"/>
      <c r="H889" s="62"/>
      <c r="I889" s="62"/>
    </row>
    <row r="890" spans="1:9" ht="14.25" customHeight="1">
      <c r="A890" s="82">
        <v>887</v>
      </c>
      <c r="B890" s="85">
        <v>889</v>
      </c>
      <c r="C890" s="85" t="s">
        <v>39</v>
      </c>
      <c r="D890" s="227">
        <v>-115.72799999999995</v>
      </c>
      <c r="G890" s="62"/>
      <c r="H890" s="62"/>
      <c r="I890" s="62"/>
    </row>
    <row r="891" spans="1:9" ht="14.25" customHeight="1">
      <c r="A891" s="84">
        <v>888</v>
      </c>
      <c r="B891" s="85">
        <v>890</v>
      </c>
      <c r="C891" s="85" t="s">
        <v>39</v>
      </c>
      <c r="D891" s="227">
        <v>5.0399999999999636</v>
      </c>
      <c r="G891" s="62"/>
      <c r="H891" s="62"/>
      <c r="I891" s="62"/>
    </row>
    <row r="892" spans="1:9" ht="14.25" customHeight="1">
      <c r="A892" s="84">
        <v>889</v>
      </c>
      <c r="B892" s="85">
        <v>891</v>
      </c>
      <c r="C892" s="85" t="s">
        <v>39</v>
      </c>
      <c r="D892" s="227">
        <v>-9.3600000000000367</v>
      </c>
      <c r="G892" s="62"/>
      <c r="H892" s="62"/>
      <c r="I892" s="62"/>
    </row>
    <row r="893" spans="1:9" ht="14.25" customHeight="1">
      <c r="A893" s="82">
        <v>890</v>
      </c>
      <c r="B893" s="85">
        <v>895</v>
      </c>
      <c r="C893" s="85" t="s">
        <v>39</v>
      </c>
      <c r="D893" s="227">
        <v>73.365999999999985</v>
      </c>
      <c r="G893" s="62"/>
      <c r="H893" s="62"/>
      <c r="I893" s="62"/>
    </row>
    <row r="894" spans="1:9" ht="14.25" customHeight="1">
      <c r="A894" s="82">
        <v>891</v>
      </c>
      <c r="B894" s="85">
        <v>896</v>
      </c>
      <c r="C894" s="85" t="s">
        <v>39</v>
      </c>
      <c r="D894" s="227">
        <v>-1117.06</v>
      </c>
      <c r="G894" s="62"/>
      <c r="H894" s="62"/>
      <c r="I894" s="62"/>
    </row>
    <row r="895" spans="1:9" ht="14.25" customHeight="1">
      <c r="A895" s="84">
        <v>892</v>
      </c>
      <c r="B895" s="85">
        <v>897</v>
      </c>
      <c r="C895" s="85" t="s">
        <v>39</v>
      </c>
      <c r="D895" s="227">
        <v>-825.53599999999983</v>
      </c>
      <c r="G895" s="62"/>
      <c r="H895" s="62"/>
      <c r="I895" s="62"/>
    </row>
    <row r="896" spans="1:9" ht="14.25" customHeight="1">
      <c r="A896" s="84">
        <v>893</v>
      </c>
      <c r="B896" s="85">
        <v>898</v>
      </c>
      <c r="C896" s="85" t="s">
        <v>39</v>
      </c>
      <c r="D896" s="227">
        <v>-19.863999999999976</v>
      </c>
      <c r="G896" s="62"/>
      <c r="H896" s="62"/>
      <c r="I896" s="62"/>
    </row>
    <row r="897" spans="1:9" ht="14.25" customHeight="1">
      <c r="A897" s="82">
        <v>894</v>
      </c>
      <c r="B897" s="85">
        <v>899</v>
      </c>
      <c r="C897" s="85" t="s">
        <v>39</v>
      </c>
      <c r="D897" s="227">
        <v>-360.65799999999996</v>
      </c>
      <c r="G897" s="62"/>
      <c r="H897" s="62"/>
      <c r="I897" s="62"/>
    </row>
    <row r="898" spans="1:9" ht="14.25" customHeight="1">
      <c r="A898" s="82">
        <v>895</v>
      </c>
      <c r="B898" s="85">
        <v>901</v>
      </c>
      <c r="C898" s="85" t="s">
        <v>39</v>
      </c>
      <c r="D898" s="227">
        <v>-106.58524000000008</v>
      </c>
      <c r="G898" s="62"/>
      <c r="H898" s="62"/>
      <c r="I898" s="62"/>
    </row>
    <row r="899" spans="1:9" ht="14.25" customHeight="1">
      <c r="A899" s="84">
        <v>896</v>
      </c>
      <c r="B899" s="85">
        <v>902</v>
      </c>
      <c r="C899" s="85" t="s">
        <v>39</v>
      </c>
      <c r="D899" s="227">
        <v>-452.17999999999995</v>
      </c>
      <c r="G899" s="62"/>
      <c r="H899" s="62"/>
      <c r="I899" s="62"/>
    </row>
    <row r="900" spans="1:9" ht="14.25" customHeight="1">
      <c r="A900" s="84">
        <v>897</v>
      </c>
      <c r="B900" s="85">
        <v>905</v>
      </c>
      <c r="C900" s="85" t="s">
        <v>39</v>
      </c>
      <c r="D900" s="227">
        <v>-272.11764499999981</v>
      </c>
      <c r="G900" s="62"/>
      <c r="H900" s="62"/>
      <c r="I900" s="62"/>
    </row>
    <row r="901" spans="1:9" ht="14.25" customHeight="1">
      <c r="A901" s="82">
        <v>898</v>
      </c>
      <c r="B901" s="85">
        <v>907</v>
      </c>
      <c r="C901" s="85" t="s">
        <v>39</v>
      </c>
      <c r="D901" s="227">
        <v>-11.977699999999999</v>
      </c>
      <c r="G901" s="62"/>
      <c r="H901" s="62"/>
      <c r="I901" s="62"/>
    </row>
    <row r="902" spans="1:9" ht="14.25" customHeight="1">
      <c r="A902" s="82">
        <v>899</v>
      </c>
      <c r="B902" s="85">
        <v>915</v>
      </c>
      <c r="C902" s="85" t="s">
        <v>39</v>
      </c>
      <c r="D902" s="227">
        <v>75.380215000000021</v>
      </c>
      <c r="G902" s="62"/>
      <c r="H902" s="62"/>
      <c r="I902" s="62"/>
    </row>
    <row r="903" spans="1:9" ht="14.25" customHeight="1">
      <c r="A903" s="84">
        <v>900</v>
      </c>
      <c r="B903" s="85">
        <v>916</v>
      </c>
      <c r="C903" s="85" t="s">
        <v>39</v>
      </c>
      <c r="D903" s="227">
        <v>40.753434999999968</v>
      </c>
      <c r="G903" s="62"/>
      <c r="H903" s="62"/>
      <c r="I903" s="62"/>
    </row>
    <row r="904" spans="1:9" ht="14.25" customHeight="1">
      <c r="A904" s="84">
        <v>901</v>
      </c>
      <c r="B904" s="85">
        <v>917</v>
      </c>
      <c r="C904" s="85" t="s">
        <v>39</v>
      </c>
      <c r="D904" s="227">
        <v>-6.2861850000000175</v>
      </c>
      <c r="G904" s="62"/>
      <c r="H904" s="62"/>
      <c r="I904" s="62"/>
    </row>
    <row r="905" spans="1:9" ht="14.25" customHeight="1">
      <c r="A905" s="82">
        <v>902</v>
      </c>
      <c r="B905" s="85">
        <v>918</v>
      </c>
      <c r="C905" s="85" t="s">
        <v>39</v>
      </c>
      <c r="D905" s="227">
        <v>-110</v>
      </c>
      <c r="G905" s="62"/>
      <c r="H905" s="62"/>
      <c r="I905" s="62"/>
    </row>
    <row r="906" spans="1:9" ht="14.25" customHeight="1">
      <c r="A906" s="82">
        <v>903</v>
      </c>
      <c r="B906" s="85">
        <v>919</v>
      </c>
      <c r="C906" s="85" t="s">
        <v>39</v>
      </c>
      <c r="D906" s="227">
        <v>165.855075</v>
      </c>
      <c r="G906" s="62"/>
      <c r="H906" s="62"/>
      <c r="I906" s="62"/>
    </row>
    <row r="907" spans="1:9" ht="14.25" customHeight="1">
      <c r="A907" s="84">
        <v>904</v>
      </c>
      <c r="B907" s="85">
        <v>922</v>
      </c>
      <c r="C907" s="85" t="s">
        <v>39</v>
      </c>
      <c r="D907" s="227">
        <v>-50.372059999999919</v>
      </c>
      <c r="G907" s="62"/>
      <c r="H907" s="62"/>
      <c r="I907" s="62"/>
    </row>
    <row r="908" spans="1:9" ht="14.25" customHeight="1">
      <c r="A908" s="84">
        <v>905</v>
      </c>
      <c r="B908" s="85">
        <v>924</v>
      </c>
      <c r="C908" s="85" t="s">
        <v>39</v>
      </c>
      <c r="D908" s="227">
        <v>-199</v>
      </c>
      <c r="G908" s="62"/>
      <c r="H908" s="62"/>
      <c r="I908" s="62"/>
    </row>
    <row r="909" spans="1:9" ht="14.25" customHeight="1">
      <c r="A909" s="82">
        <v>906</v>
      </c>
      <c r="B909" s="85">
        <v>925</v>
      </c>
      <c r="C909" s="85" t="s">
        <v>39</v>
      </c>
      <c r="D909" s="227">
        <v>-20.467642499999897</v>
      </c>
      <c r="G909" s="62"/>
      <c r="H909" s="62"/>
      <c r="I909" s="62"/>
    </row>
    <row r="910" spans="1:9" ht="14.25" customHeight="1">
      <c r="A910" s="82">
        <v>907</v>
      </c>
      <c r="B910" s="85">
        <v>926</v>
      </c>
      <c r="C910" s="85" t="s">
        <v>39</v>
      </c>
      <c r="D910" s="227">
        <v>-138.15499999999997</v>
      </c>
      <c r="G910" s="62"/>
      <c r="H910" s="62"/>
      <c r="I910" s="62"/>
    </row>
    <row r="911" spans="1:9" ht="14.25" customHeight="1">
      <c r="A911" s="84">
        <v>908</v>
      </c>
      <c r="B911" s="85">
        <v>927</v>
      </c>
      <c r="C911" s="85" t="s">
        <v>39</v>
      </c>
      <c r="D911" s="227">
        <v>174.51376000000005</v>
      </c>
      <c r="G911" s="62"/>
      <c r="H911" s="62"/>
      <c r="I911" s="62"/>
    </row>
    <row r="912" spans="1:9" ht="14.25" customHeight="1">
      <c r="A912" s="84">
        <v>909</v>
      </c>
      <c r="B912" s="85">
        <v>929</v>
      </c>
      <c r="C912" s="85" t="s">
        <v>39</v>
      </c>
      <c r="D912" s="227">
        <v>-63.328800000000115</v>
      </c>
      <c r="G912" s="62"/>
      <c r="H912" s="62"/>
      <c r="I912" s="62"/>
    </row>
    <row r="913" spans="1:9" ht="14.25" customHeight="1">
      <c r="A913" s="82">
        <v>910</v>
      </c>
      <c r="B913" s="85">
        <v>930</v>
      </c>
      <c r="C913" s="85" t="s">
        <v>39</v>
      </c>
      <c r="D913" s="227">
        <v>-140.65927125000007</v>
      </c>
      <c r="G913" s="62"/>
      <c r="H913" s="62"/>
      <c r="I913" s="62"/>
    </row>
    <row r="914" spans="1:9" ht="14.25" customHeight="1">
      <c r="A914" s="82">
        <v>911</v>
      </c>
      <c r="B914" s="85">
        <v>933</v>
      </c>
      <c r="C914" s="85" t="s">
        <v>39</v>
      </c>
      <c r="D914" s="227">
        <v>-105.96990000000005</v>
      </c>
      <c r="G914" s="62"/>
      <c r="H914" s="62"/>
      <c r="I914" s="62"/>
    </row>
    <row r="915" spans="1:9" ht="14.25" customHeight="1">
      <c r="A915" s="84">
        <v>912</v>
      </c>
      <c r="B915" s="85">
        <v>934</v>
      </c>
      <c r="C915" s="85" t="s">
        <v>39</v>
      </c>
      <c r="D915" s="227">
        <v>-150.34700000000018</v>
      </c>
      <c r="G915" s="62"/>
      <c r="H915" s="62"/>
      <c r="I915" s="62"/>
    </row>
    <row r="916" spans="1:9" ht="14.25" customHeight="1">
      <c r="A916" s="84">
        <v>913</v>
      </c>
      <c r="B916" s="85">
        <v>935</v>
      </c>
      <c r="C916" s="85" t="s">
        <v>39</v>
      </c>
      <c r="D916" s="227">
        <v>-51.347459999999955</v>
      </c>
      <c r="G916" s="62"/>
      <c r="H916" s="62"/>
      <c r="I916" s="62"/>
    </row>
    <row r="917" spans="1:9" ht="14.25" customHeight="1">
      <c r="A917" s="82">
        <v>914</v>
      </c>
      <c r="B917" s="85">
        <v>939</v>
      </c>
      <c r="C917" s="85" t="s">
        <v>39</v>
      </c>
      <c r="D917" s="227">
        <v>-44</v>
      </c>
      <c r="G917" s="62"/>
      <c r="H917" s="62"/>
      <c r="I917" s="62"/>
    </row>
    <row r="918" spans="1:9" ht="14.25" customHeight="1">
      <c r="A918" s="82">
        <v>915</v>
      </c>
      <c r="B918" s="85">
        <v>940</v>
      </c>
      <c r="C918" s="85" t="s">
        <v>39</v>
      </c>
      <c r="D918" s="227">
        <v>-380.22</v>
      </c>
      <c r="G918" s="62"/>
      <c r="H918" s="62"/>
      <c r="I918" s="62"/>
    </row>
    <row r="919" spans="1:9" ht="14.25" customHeight="1">
      <c r="A919" s="84">
        <v>916</v>
      </c>
      <c r="B919" s="85">
        <v>941</v>
      </c>
      <c r="C919" s="85" t="s">
        <v>39</v>
      </c>
      <c r="D919" s="227">
        <v>279.47040749999996</v>
      </c>
      <c r="G919" s="62"/>
      <c r="H919" s="62"/>
      <c r="I919" s="62"/>
    </row>
    <row r="920" spans="1:9" ht="14.25" customHeight="1">
      <c r="A920" s="84">
        <v>917</v>
      </c>
      <c r="B920" s="85">
        <v>942</v>
      </c>
      <c r="C920" s="85" t="s">
        <v>39</v>
      </c>
      <c r="D920" s="227">
        <v>-1.8763999999999896</v>
      </c>
      <c r="G920" s="62"/>
      <c r="H920" s="62"/>
      <c r="I920" s="62"/>
    </row>
    <row r="921" spans="1:9" ht="14.25" customHeight="1">
      <c r="A921" s="82">
        <v>918</v>
      </c>
      <c r="B921" s="85">
        <v>943</v>
      </c>
      <c r="C921" s="85" t="s">
        <v>39</v>
      </c>
      <c r="D921" s="227">
        <v>35.785100000000057</v>
      </c>
      <c r="G921" s="62"/>
      <c r="H921" s="62"/>
      <c r="I921" s="62"/>
    </row>
    <row r="922" spans="1:9" ht="14.25" customHeight="1">
      <c r="A922" s="82">
        <v>919</v>
      </c>
      <c r="B922" s="85">
        <v>944</v>
      </c>
      <c r="C922" s="85" t="s">
        <v>39</v>
      </c>
      <c r="D922" s="227">
        <v>-515.21540000000005</v>
      </c>
      <c r="G922" s="62"/>
      <c r="H922" s="62"/>
      <c r="I922" s="62"/>
    </row>
    <row r="923" spans="1:9" ht="14.25" customHeight="1">
      <c r="A923" s="84">
        <v>920</v>
      </c>
      <c r="B923" s="85">
        <v>945</v>
      </c>
      <c r="C923" s="85" t="s">
        <v>39</v>
      </c>
      <c r="D923" s="227">
        <v>-18</v>
      </c>
      <c r="G923" s="62"/>
      <c r="H923" s="62"/>
      <c r="I923" s="62"/>
    </row>
    <row r="924" spans="1:9" ht="14.25" customHeight="1">
      <c r="A924" s="84">
        <v>921</v>
      </c>
      <c r="B924" s="85">
        <v>947</v>
      </c>
      <c r="C924" s="85" t="s">
        <v>39</v>
      </c>
      <c r="D924" s="227">
        <v>348.096</v>
      </c>
      <c r="G924" s="62"/>
      <c r="H924" s="62"/>
      <c r="I924" s="62"/>
    </row>
    <row r="925" spans="1:9" ht="14.25" customHeight="1">
      <c r="A925" s="82">
        <v>922</v>
      </c>
      <c r="B925" s="85">
        <v>948</v>
      </c>
      <c r="C925" s="85" t="s">
        <v>39</v>
      </c>
      <c r="D925" s="227">
        <v>135.35249999999999</v>
      </c>
      <c r="G925" s="62"/>
      <c r="H925" s="62"/>
      <c r="I925" s="62"/>
    </row>
    <row r="926" spans="1:9" ht="14.25" customHeight="1">
      <c r="A926" s="82">
        <v>923</v>
      </c>
      <c r="B926" s="85">
        <v>949</v>
      </c>
      <c r="C926" s="85" t="s">
        <v>39</v>
      </c>
      <c r="D926" s="227">
        <v>-150.56145999999995</v>
      </c>
      <c r="G926" s="62"/>
      <c r="H926" s="62"/>
      <c r="I926" s="62"/>
    </row>
    <row r="927" spans="1:9" ht="14.25" customHeight="1">
      <c r="A927" s="84">
        <v>924</v>
      </c>
      <c r="B927" s="85">
        <v>950</v>
      </c>
      <c r="C927" s="85" t="s">
        <v>39</v>
      </c>
      <c r="D927" s="227">
        <v>388.80324000000007</v>
      </c>
      <c r="G927" s="62"/>
      <c r="H927" s="62"/>
      <c r="I927" s="62"/>
    </row>
    <row r="928" spans="1:9" ht="14.25" customHeight="1">
      <c r="A928" s="84">
        <v>925</v>
      </c>
      <c r="B928" s="85">
        <v>951</v>
      </c>
      <c r="C928" s="85" t="s">
        <v>39</v>
      </c>
      <c r="D928" s="227">
        <v>-260</v>
      </c>
      <c r="G928" s="62"/>
      <c r="H928" s="62"/>
      <c r="I928" s="62"/>
    </row>
    <row r="929" spans="1:9" ht="14.25" customHeight="1">
      <c r="A929" s="82">
        <v>926</v>
      </c>
      <c r="B929" s="85">
        <v>952</v>
      </c>
      <c r="C929" s="85" t="s">
        <v>39</v>
      </c>
      <c r="D929" s="227">
        <v>-383.32</v>
      </c>
      <c r="G929" s="62"/>
      <c r="H929" s="62"/>
      <c r="I929" s="62"/>
    </row>
    <row r="930" spans="1:9" ht="14.25" customHeight="1">
      <c r="A930" s="82">
        <v>927</v>
      </c>
      <c r="B930" s="85">
        <v>954</v>
      </c>
      <c r="C930" s="85" t="s">
        <v>39</v>
      </c>
      <c r="D930" s="227">
        <v>193</v>
      </c>
      <c r="G930" s="62"/>
      <c r="H930" s="62"/>
      <c r="I930" s="62"/>
    </row>
    <row r="931" spans="1:9" ht="14.25" customHeight="1">
      <c r="A931" s="84">
        <v>928</v>
      </c>
      <c r="B931" s="85">
        <v>957</v>
      </c>
      <c r="C931" s="85" t="s">
        <v>39</v>
      </c>
      <c r="D931" s="227">
        <v>-77.95868500000006</v>
      </c>
      <c r="G931" s="62"/>
      <c r="H931" s="62"/>
      <c r="I931" s="62"/>
    </row>
    <row r="932" spans="1:9" ht="14.25" customHeight="1">
      <c r="A932" s="84">
        <v>929</v>
      </c>
      <c r="B932" s="85">
        <v>958</v>
      </c>
      <c r="C932" s="85" t="s">
        <v>39</v>
      </c>
      <c r="D932" s="227">
        <v>-117</v>
      </c>
      <c r="G932" s="62"/>
      <c r="H932" s="62"/>
      <c r="I932" s="62"/>
    </row>
    <row r="933" spans="1:9" ht="14.25" customHeight="1">
      <c r="A933" s="82">
        <v>930</v>
      </c>
      <c r="B933" s="85">
        <v>960</v>
      </c>
      <c r="C933" s="85" t="s">
        <v>39</v>
      </c>
      <c r="D933" s="227">
        <v>36.673200000000065</v>
      </c>
      <c r="G933" s="62"/>
      <c r="H933" s="62"/>
      <c r="I933" s="62"/>
    </row>
    <row r="934" spans="1:9" ht="14.25" customHeight="1">
      <c r="A934" s="82">
        <v>931</v>
      </c>
      <c r="B934" s="85">
        <v>963</v>
      </c>
      <c r="C934" s="85" t="s">
        <v>39</v>
      </c>
      <c r="D934" s="227">
        <v>-6.5553599999999506</v>
      </c>
      <c r="G934" s="62"/>
      <c r="H934" s="62"/>
      <c r="I934" s="62"/>
    </row>
    <row r="935" spans="1:9" ht="14.25" customHeight="1">
      <c r="A935" s="84">
        <v>932</v>
      </c>
      <c r="B935" s="85">
        <v>964</v>
      </c>
      <c r="C935" s="85" t="s">
        <v>39</v>
      </c>
      <c r="D935" s="227">
        <v>276.23454000000004</v>
      </c>
      <c r="G935" s="62"/>
      <c r="H935" s="62"/>
      <c r="I935" s="62"/>
    </row>
    <row r="936" spans="1:9" ht="14.25" customHeight="1">
      <c r="A936" s="84">
        <v>933</v>
      </c>
      <c r="B936" s="85">
        <v>968</v>
      </c>
      <c r="C936" s="85" t="s">
        <v>39</v>
      </c>
      <c r="D936" s="227">
        <v>80.828917499999989</v>
      </c>
      <c r="G936" s="62"/>
      <c r="H936" s="62"/>
      <c r="I936" s="62"/>
    </row>
    <row r="937" spans="1:9" ht="14.25" customHeight="1">
      <c r="A937" s="82">
        <v>934</v>
      </c>
      <c r="B937" s="85">
        <v>969</v>
      </c>
      <c r="C937" s="85" t="s">
        <v>39</v>
      </c>
      <c r="D937" s="227">
        <v>225.70342874999994</v>
      </c>
      <c r="G937" s="62"/>
      <c r="H937" s="62"/>
      <c r="I937" s="62"/>
    </row>
    <row r="938" spans="1:9" ht="14.25" customHeight="1">
      <c r="A938" s="82">
        <v>935</v>
      </c>
      <c r="B938" s="85">
        <v>972</v>
      </c>
      <c r="C938" s="85" t="s">
        <v>39</v>
      </c>
      <c r="D938" s="227">
        <v>234.5132000000001</v>
      </c>
      <c r="G938" s="62"/>
      <c r="H938" s="62"/>
      <c r="I938" s="62"/>
    </row>
    <row r="939" spans="1:9" ht="14.25" customHeight="1">
      <c r="A939" s="84">
        <v>936</v>
      </c>
      <c r="B939" s="85">
        <v>975</v>
      </c>
      <c r="C939" s="85" t="s">
        <v>39</v>
      </c>
      <c r="D939" s="227">
        <v>103.18729999999994</v>
      </c>
      <c r="G939" s="62"/>
      <c r="H939" s="62"/>
      <c r="I939" s="62"/>
    </row>
    <row r="940" spans="1:9" ht="14.25" customHeight="1">
      <c r="A940" s="84">
        <v>937</v>
      </c>
      <c r="B940" s="85">
        <v>976</v>
      </c>
      <c r="C940" s="85" t="s">
        <v>39</v>
      </c>
      <c r="D940" s="227">
        <v>-127.07971999999995</v>
      </c>
      <c r="G940" s="62"/>
      <c r="H940" s="62"/>
      <c r="I940" s="62"/>
    </row>
    <row r="941" spans="1:9" ht="14.25" customHeight="1">
      <c r="A941" s="82">
        <v>938</v>
      </c>
      <c r="B941" s="85">
        <v>977</v>
      </c>
      <c r="C941" s="85" t="s">
        <v>39</v>
      </c>
      <c r="D941" s="227">
        <v>-281.31400000000008</v>
      </c>
      <c r="G941" s="62"/>
      <c r="H941" s="62"/>
      <c r="I941" s="62"/>
    </row>
    <row r="942" spans="1:9" ht="14.25" customHeight="1">
      <c r="A942" s="82">
        <v>939</v>
      </c>
      <c r="B942" s="85">
        <v>978</v>
      </c>
      <c r="C942" s="85" t="s">
        <v>39</v>
      </c>
      <c r="D942" s="227">
        <v>-23.451379999999993</v>
      </c>
      <c r="G942" s="62"/>
      <c r="H942" s="62"/>
      <c r="I942" s="62"/>
    </row>
    <row r="943" spans="1:9" ht="14.25" customHeight="1">
      <c r="A943" s="84">
        <v>940</v>
      </c>
      <c r="B943" s="85">
        <v>979</v>
      </c>
      <c r="C943" s="85" t="s">
        <v>39</v>
      </c>
      <c r="D943" s="227">
        <v>187.38</v>
      </c>
      <c r="G943" s="62"/>
      <c r="H943" s="62"/>
      <c r="I943" s="62"/>
    </row>
    <row r="944" spans="1:9" ht="14.25" customHeight="1">
      <c r="A944" s="84">
        <v>941</v>
      </c>
      <c r="B944" s="85">
        <v>981</v>
      </c>
      <c r="C944" s="85" t="s">
        <v>39</v>
      </c>
      <c r="D944" s="227">
        <v>-39.935999999999979</v>
      </c>
      <c r="G944" s="62"/>
      <c r="H944" s="62"/>
      <c r="I944" s="62"/>
    </row>
    <row r="945" spans="1:9" ht="14.25" customHeight="1">
      <c r="A945" s="82">
        <v>942</v>
      </c>
      <c r="B945" s="85">
        <v>982</v>
      </c>
      <c r="C945" s="85" t="s">
        <v>39</v>
      </c>
      <c r="D945" s="227">
        <v>310.74630500000001</v>
      </c>
      <c r="G945" s="62"/>
      <c r="H945" s="62"/>
      <c r="I945" s="62"/>
    </row>
    <row r="946" spans="1:9" ht="14.25" customHeight="1">
      <c r="A946" s="82">
        <v>943</v>
      </c>
      <c r="B946" s="85">
        <v>983</v>
      </c>
      <c r="C946" s="85" t="s">
        <v>39</v>
      </c>
      <c r="D946" s="227">
        <v>34.565240000000017</v>
      </c>
      <c r="G946" s="62"/>
      <c r="H946" s="62"/>
      <c r="I946" s="62"/>
    </row>
    <row r="947" spans="1:9" ht="14.25" customHeight="1">
      <c r="A947" s="84">
        <v>944</v>
      </c>
      <c r="B947" s="85">
        <v>984</v>
      </c>
      <c r="C947" s="85" t="s">
        <v>39</v>
      </c>
      <c r="D947" s="227">
        <v>56.793700000000001</v>
      </c>
      <c r="G947" s="62"/>
      <c r="H947" s="62"/>
      <c r="I947" s="62"/>
    </row>
    <row r="948" spans="1:9" ht="14.25" customHeight="1">
      <c r="A948" s="84">
        <v>945</v>
      </c>
      <c r="B948" s="85">
        <v>985</v>
      </c>
      <c r="C948" s="85" t="s">
        <v>39</v>
      </c>
      <c r="D948" s="227">
        <v>21.286335000000008</v>
      </c>
      <c r="G948" s="62"/>
      <c r="H948" s="62"/>
      <c r="I948" s="62"/>
    </row>
    <row r="949" spans="1:9" ht="14.25" customHeight="1">
      <c r="A949" s="82">
        <v>946</v>
      </c>
      <c r="B949" s="85">
        <v>987</v>
      </c>
      <c r="C949" s="85" t="s">
        <v>39</v>
      </c>
      <c r="D949" s="227">
        <v>-46.535600000000066</v>
      </c>
      <c r="G949" s="62"/>
      <c r="H949" s="62"/>
      <c r="I949" s="62"/>
    </row>
    <row r="950" spans="1:9" ht="14.25" customHeight="1">
      <c r="A950" s="82">
        <v>947</v>
      </c>
      <c r="B950" s="85">
        <v>988</v>
      </c>
      <c r="C950" s="85" t="s">
        <v>39</v>
      </c>
      <c r="D950" s="227">
        <v>-48.543900000000008</v>
      </c>
      <c r="G950" s="62"/>
      <c r="H950" s="62"/>
      <c r="I950" s="62"/>
    </row>
    <row r="951" spans="1:9" ht="14.25" customHeight="1">
      <c r="A951" s="84">
        <v>948</v>
      </c>
      <c r="B951" s="85">
        <v>989</v>
      </c>
      <c r="C951" s="85" t="s">
        <v>39</v>
      </c>
      <c r="D951" s="227">
        <v>-119.90912800000001</v>
      </c>
      <c r="G951" s="62"/>
      <c r="H951" s="62"/>
      <c r="I951" s="62"/>
    </row>
    <row r="952" spans="1:9" ht="14.25" customHeight="1">
      <c r="A952" s="84">
        <v>949</v>
      </c>
      <c r="B952" s="85">
        <v>991</v>
      </c>
      <c r="C952" s="85" t="s">
        <v>39</v>
      </c>
      <c r="D952" s="227">
        <v>-202.34424000000001</v>
      </c>
      <c r="G952" s="62"/>
      <c r="H952" s="62"/>
      <c r="I952" s="62"/>
    </row>
    <row r="953" spans="1:9" ht="14.25" customHeight="1">
      <c r="A953" s="82">
        <v>950</v>
      </c>
      <c r="B953" s="85">
        <v>992</v>
      </c>
      <c r="C953" s="85" t="s">
        <v>39</v>
      </c>
      <c r="D953" s="227">
        <v>119.78000000000003</v>
      </c>
      <c r="G953" s="62"/>
      <c r="H953" s="62"/>
      <c r="I953" s="62"/>
    </row>
    <row r="954" spans="1:9" ht="14.25" customHeight="1">
      <c r="A954" s="82">
        <v>951</v>
      </c>
      <c r="B954" s="85">
        <v>994</v>
      </c>
      <c r="C954" s="85" t="s">
        <v>39</v>
      </c>
      <c r="D954" s="227">
        <v>-148.71190000000013</v>
      </c>
      <c r="G954" s="62"/>
      <c r="H954" s="62"/>
      <c r="I954" s="62"/>
    </row>
    <row r="955" spans="1:9" ht="14.25" customHeight="1">
      <c r="A955" s="84">
        <v>952</v>
      </c>
      <c r="B955" s="85">
        <v>996</v>
      </c>
      <c r="C955" s="85" t="s">
        <v>39</v>
      </c>
      <c r="D955" s="227">
        <v>-21.644639999999981</v>
      </c>
      <c r="G955" s="62"/>
      <c r="H955" s="62"/>
      <c r="I955" s="62"/>
    </row>
    <row r="956" spans="1:9" ht="14.25" customHeight="1">
      <c r="A956" s="84">
        <v>953</v>
      </c>
      <c r="B956" s="85">
        <v>999</v>
      </c>
      <c r="C956" s="85" t="s">
        <v>39</v>
      </c>
      <c r="D956" s="227">
        <v>138.74</v>
      </c>
      <c r="G956" s="62"/>
      <c r="H956" s="62"/>
      <c r="I956" s="62"/>
    </row>
    <row r="957" spans="1:9" ht="14.25" customHeight="1">
      <c r="A957" s="82">
        <v>954</v>
      </c>
      <c r="B957" s="85">
        <v>1000</v>
      </c>
      <c r="C957" s="85" t="s">
        <v>39</v>
      </c>
      <c r="D957" s="227">
        <v>-168.35955999999987</v>
      </c>
      <c r="G957" s="62"/>
      <c r="H957" s="62"/>
      <c r="I957" s="62"/>
    </row>
    <row r="958" spans="1:9" ht="14.25" customHeight="1">
      <c r="A958" s="82">
        <v>955</v>
      </c>
      <c r="B958" s="85">
        <v>1001</v>
      </c>
      <c r="C958" s="85" t="s">
        <v>39</v>
      </c>
      <c r="D958" s="227">
        <v>-14.037820000000124</v>
      </c>
      <c r="G958" s="62"/>
      <c r="H958" s="62"/>
      <c r="I958" s="62"/>
    </row>
    <row r="959" spans="1:9" ht="14.25" customHeight="1">
      <c r="A959" s="84">
        <v>956</v>
      </c>
      <c r="B959" s="85">
        <v>1002</v>
      </c>
      <c r="C959" s="85" t="s">
        <v>39</v>
      </c>
      <c r="D959" s="227">
        <v>53.129300000000114</v>
      </c>
      <c r="G959" s="62"/>
      <c r="H959" s="62"/>
      <c r="I959" s="62"/>
    </row>
    <row r="960" spans="1:9" ht="14.25" customHeight="1">
      <c r="A960" s="84">
        <v>957</v>
      </c>
      <c r="B960" s="85">
        <v>1004</v>
      </c>
      <c r="C960" s="85" t="s">
        <v>39</v>
      </c>
      <c r="D960" s="227">
        <v>-79.960000000000036</v>
      </c>
      <c r="G960" s="62"/>
      <c r="H960" s="62"/>
      <c r="I960" s="62"/>
    </row>
    <row r="961" spans="1:9" ht="14.25" customHeight="1">
      <c r="A961" s="82">
        <v>958</v>
      </c>
      <c r="B961" s="85">
        <v>1005</v>
      </c>
      <c r="C961" s="85" t="s">
        <v>39</v>
      </c>
      <c r="D961" s="227">
        <v>-94.960000000000036</v>
      </c>
      <c r="G961" s="62"/>
      <c r="H961" s="62"/>
      <c r="I961" s="62"/>
    </row>
    <row r="962" spans="1:9" ht="14.25" customHeight="1">
      <c r="A962" s="82">
        <v>959</v>
      </c>
      <c r="B962" s="85">
        <v>1006</v>
      </c>
      <c r="C962" s="85" t="s">
        <v>39</v>
      </c>
      <c r="D962" s="227">
        <v>-47.279225999999994</v>
      </c>
      <c r="G962" s="62"/>
      <c r="H962" s="62"/>
      <c r="I962" s="62"/>
    </row>
    <row r="963" spans="1:9" ht="14.25" customHeight="1">
      <c r="A963" s="84">
        <v>960</v>
      </c>
      <c r="B963" s="85">
        <v>1008</v>
      </c>
      <c r="C963" s="85" t="s">
        <v>39</v>
      </c>
      <c r="D963" s="227">
        <v>115.14337</v>
      </c>
      <c r="G963" s="62"/>
      <c r="H963" s="62"/>
      <c r="I963" s="62"/>
    </row>
    <row r="964" spans="1:9" ht="14.25" customHeight="1">
      <c r="A964" s="84">
        <v>961</v>
      </c>
      <c r="B964" s="85">
        <v>1009</v>
      </c>
      <c r="C964" s="85" t="s">
        <v>39</v>
      </c>
      <c r="D964" s="227">
        <v>-148.71949999999993</v>
      </c>
      <c r="G964" s="62"/>
      <c r="H964" s="62"/>
      <c r="I964" s="62"/>
    </row>
    <row r="965" spans="1:9" ht="14.25" customHeight="1">
      <c r="A965" s="82">
        <v>962</v>
      </c>
      <c r="B965" s="85">
        <v>1010</v>
      </c>
      <c r="C965" s="85" t="s">
        <v>39</v>
      </c>
      <c r="D965" s="227">
        <v>-110.13479124999992</v>
      </c>
      <c r="G965" s="62"/>
      <c r="H965" s="62"/>
      <c r="I965" s="62"/>
    </row>
    <row r="966" spans="1:9" ht="14.25" customHeight="1">
      <c r="A966" s="82">
        <v>963</v>
      </c>
      <c r="B966" s="85">
        <v>1011</v>
      </c>
      <c r="C966" s="85" t="s">
        <v>39</v>
      </c>
      <c r="D966" s="227">
        <v>-490.6</v>
      </c>
      <c r="G966" s="62"/>
      <c r="H966" s="62"/>
      <c r="I966" s="62"/>
    </row>
    <row r="967" spans="1:9" ht="14.25" customHeight="1">
      <c r="A967" s="84">
        <v>964</v>
      </c>
      <c r="B967" s="85">
        <v>1012</v>
      </c>
      <c r="C967" s="85" t="s">
        <v>39</v>
      </c>
      <c r="D967" s="227">
        <v>67.587949999999978</v>
      </c>
      <c r="G967" s="62"/>
      <c r="H967" s="62"/>
      <c r="I967" s="62"/>
    </row>
    <row r="968" spans="1:9" ht="14.25" customHeight="1">
      <c r="A968" s="84">
        <v>965</v>
      </c>
      <c r="B968" s="85">
        <v>1013</v>
      </c>
      <c r="C968" s="85" t="s">
        <v>39</v>
      </c>
      <c r="D968" s="227">
        <v>-20.507291999999978</v>
      </c>
      <c r="G968" s="62"/>
      <c r="H968" s="62"/>
      <c r="I968" s="62"/>
    </row>
    <row r="969" spans="1:9" ht="14.25" customHeight="1">
      <c r="A969" s="82">
        <v>966</v>
      </c>
      <c r="B969" s="85">
        <v>1014</v>
      </c>
      <c r="C969" s="85" t="s">
        <v>39</v>
      </c>
      <c r="D969" s="227">
        <v>376.15624200000002</v>
      </c>
      <c r="G969" s="62"/>
      <c r="H969" s="62"/>
      <c r="I969" s="62"/>
    </row>
    <row r="970" spans="1:9" ht="14.25" customHeight="1">
      <c r="A970" s="82">
        <v>967</v>
      </c>
      <c r="B970" s="85">
        <v>1018</v>
      </c>
      <c r="C970" s="85" t="s">
        <v>39</v>
      </c>
      <c r="D970" s="227">
        <v>-199.82749999999999</v>
      </c>
      <c r="G970" s="62"/>
      <c r="H970" s="62"/>
      <c r="I970" s="62"/>
    </row>
    <row r="971" spans="1:9" ht="14.25" customHeight="1">
      <c r="A971" s="84">
        <v>968</v>
      </c>
      <c r="B971" s="85">
        <v>1019</v>
      </c>
      <c r="C971" s="85" t="s">
        <v>39</v>
      </c>
      <c r="D971" s="227">
        <v>71.618262500000128</v>
      </c>
      <c r="G971" s="62"/>
      <c r="H971" s="62"/>
      <c r="I971" s="62"/>
    </row>
    <row r="972" spans="1:9" ht="14.25" customHeight="1">
      <c r="A972" s="84">
        <v>969</v>
      </c>
      <c r="B972" s="85">
        <v>1020</v>
      </c>
      <c r="C972" s="85" t="s">
        <v>39</v>
      </c>
      <c r="D972" s="227">
        <v>62.828317500000026</v>
      </c>
      <c r="G972" s="62"/>
      <c r="H972" s="62"/>
      <c r="I972" s="62"/>
    </row>
    <row r="973" spans="1:9" ht="14.25" customHeight="1">
      <c r="A973" s="82">
        <v>970</v>
      </c>
      <c r="B973" s="85">
        <v>1021</v>
      </c>
      <c r="C973" s="85" t="s">
        <v>39</v>
      </c>
      <c r="D973" s="227">
        <v>86.851034999999968</v>
      </c>
      <c r="G973" s="62"/>
      <c r="H973" s="62"/>
      <c r="I973" s="62"/>
    </row>
    <row r="974" spans="1:9" ht="14.25" customHeight="1">
      <c r="A974" s="82">
        <v>971</v>
      </c>
      <c r="B974" s="85">
        <v>1022</v>
      </c>
      <c r="C974" s="85" t="s">
        <v>39</v>
      </c>
      <c r="D974" s="227">
        <v>118.4496079999999</v>
      </c>
      <c r="G974" s="62"/>
      <c r="H974" s="62"/>
      <c r="I974" s="62"/>
    </row>
    <row r="975" spans="1:9" ht="14.25" customHeight="1">
      <c r="A975" s="84">
        <v>972</v>
      </c>
      <c r="B975" s="85">
        <v>1023</v>
      </c>
      <c r="C975" s="85" t="s">
        <v>39</v>
      </c>
      <c r="D975" s="227">
        <v>6.8399999999999181</v>
      </c>
      <c r="G975" s="62"/>
      <c r="H975" s="62"/>
      <c r="I975" s="62"/>
    </row>
    <row r="976" spans="1:9" ht="14.25" customHeight="1">
      <c r="A976" s="84">
        <v>973</v>
      </c>
      <c r="B976" s="85">
        <v>1024</v>
      </c>
      <c r="C976" s="85" t="s">
        <v>39</v>
      </c>
      <c r="D976" s="227">
        <v>51.052143500000057</v>
      </c>
      <c r="G976" s="62"/>
      <c r="H976" s="62"/>
      <c r="I976" s="62"/>
    </row>
    <row r="977" spans="1:4" ht="14.25" customHeight="1">
      <c r="A977" s="82">
        <v>974</v>
      </c>
      <c r="B977" s="85">
        <v>1025</v>
      </c>
      <c r="C977" s="85" t="s">
        <v>39</v>
      </c>
      <c r="D977" s="227">
        <v>211.5025</v>
      </c>
    </row>
    <row r="978" spans="1:4" ht="14.25" customHeight="1">
      <c r="A978" s="82">
        <v>975</v>
      </c>
      <c r="B978" s="85">
        <v>1026</v>
      </c>
      <c r="C978" s="85" t="s">
        <v>39</v>
      </c>
      <c r="D978" s="227">
        <v>2</v>
      </c>
    </row>
    <row r="979" spans="1:4" ht="14.25" customHeight="1">
      <c r="A979" s="84">
        <v>976</v>
      </c>
      <c r="B979" s="85">
        <v>1029</v>
      </c>
      <c r="C979" s="85" t="s">
        <v>39</v>
      </c>
      <c r="D979" s="227">
        <v>-116.92749125</v>
      </c>
    </row>
    <row r="980" spans="1:4" ht="14.25" customHeight="1">
      <c r="A980" s="84">
        <v>977</v>
      </c>
      <c r="B980" s="85">
        <v>1030</v>
      </c>
      <c r="C980" s="85" t="s">
        <v>39</v>
      </c>
      <c r="D980" s="227">
        <v>-61.587930000000028</v>
      </c>
    </row>
    <row r="981" spans="1:4" ht="14.25" customHeight="1">
      <c r="A981" s="82">
        <v>978</v>
      </c>
      <c r="B981" s="85">
        <v>1031</v>
      </c>
      <c r="C981" s="85" t="s">
        <v>39</v>
      </c>
      <c r="D981" s="227">
        <v>-497.9096212500001</v>
      </c>
    </row>
    <row r="982" spans="1:4" ht="14.25" customHeight="1">
      <c r="A982" s="82">
        <v>979</v>
      </c>
      <c r="B982" s="85">
        <v>1032</v>
      </c>
      <c r="C982" s="85" t="s">
        <v>39</v>
      </c>
      <c r="D982" s="227">
        <v>-21.791471249999972</v>
      </c>
    </row>
    <row r="983" spans="1:4" ht="14.25" customHeight="1">
      <c r="A983" s="84">
        <v>980</v>
      </c>
      <c r="B983" s="85">
        <v>1033</v>
      </c>
      <c r="C983" s="85" t="s">
        <v>39</v>
      </c>
      <c r="D983" s="227">
        <v>22.6</v>
      </c>
    </row>
    <row r="984" spans="1:4" ht="14.25" customHeight="1">
      <c r="A984" s="84">
        <v>981</v>
      </c>
      <c r="B984" s="85">
        <v>1034</v>
      </c>
      <c r="C984" s="85" t="s">
        <v>39</v>
      </c>
      <c r="D984" s="227">
        <v>-682.90349999999989</v>
      </c>
    </row>
    <row r="985" spans="1:4" ht="14.25" customHeight="1">
      <c r="A985" s="82">
        <v>982</v>
      </c>
      <c r="B985" s="85">
        <v>1035</v>
      </c>
      <c r="C985" s="85" t="s">
        <v>39</v>
      </c>
      <c r="D985" s="227">
        <v>-345.48172499999998</v>
      </c>
    </row>
    <row r="986" spans="1:4" ht="14.25" customHeight="1">
      <c r="A986" s="82">
        <v>983</v>
      </c>
      <c r="B986" s="85">
        <v>1036</v>
      </c>
      <c r="C986" s="85" t="s">
        <v>39</v>
      </c>
      <c r="D986" s="227">
        <v>-236.80299999999988</v>
      </c>
    </row>
    <row r="987" spans="1:4" ht="14.25" customHeight="1">
      <c r="A987" s="84">
        <v>984</v>
      </c>
      <c r="B987" s="85">
        <v>1038</v>
      </c>
      <c r="C987" s="85" t="s">
        <v>39</v>
      </c>
      <c r="D987" s="227">
        <v>-855.30866000000015</v>
      </c>
    </row>
    <row r="988" spans="1:4" ht="14.25" customHeight="1">
      <c r="A988" s="84">
        <v>985</v>
      </c>
      <c r="B988" s="85">
        <v>1040</v>
      </c>
      <c r="C988" s="85" t="s">
        <v>39</v>
      </c>
      <c r="D988" s="227">
        <v>-398.89408000000003</v>
      </c>
    </row>
    <row r="989" spans="1:4" ht="14.25" customHeight="1">
      <c r="A989" s="82">
        <v>986</v>
      </c>
      <c r="B989" s="85">
        <v>1042</v>
      </c>
      <c r="C989" s="85" t="s">
        <v>39</v>
      </c>
      <c r="D989" s="227">
        <v>73.361099999999965</v>
      </c>
    </row>
    <row r="990" spans="1:4" ht="14.25" customHeight="1">
      <c r="A990" s="82">
        <v>987</v>
      </c>
      <c r="B990" s="85">
        <v>1043</v>
      </c>
      <c r="C990" s="85" t="s">
        <v>39</v>
      </c>
      <c r="D990" s="227">
        <v>-34.72400000000016</v>
      </c>
    </row>
    <row r="991" spans="1:4" ht="14.25" customHeight="1">
      <c r="A991" s="84">
        <v>988</v>
      </c>
      <c r="B991" s="85">
        <v>1044</v>
      </c>
      <c r="C991" s="85" t="s">
        <v>39</v>
      </c>
      <c r="D991" s="227">
        <v>46.382180000000005</v>
      </c>
    </row>
    <row r="992" spans="1:4" ht="14.25" customHeight="1">
      <c r="A992" s="84">
        <v>989</v>
      </c>
      <c r="B992" s="85">
        <v>1045</v>
      </c>
      <c r="C992" s="85" t="s">
        <v>39</v>
      </c>
      <c r="D992" s="227">
        <v>85.001625000000018</v>
      </c>
    </row>
    <row r="993" spans="1:4" ht="14.25" customHeight="1">
      <c r="A993" s="82">
        <v>990</v>
      </c>
      <c r="B993" s="85">
        <v>1046</v>
      </c>
      <c r="C993" s="85" t="s">
        <v>39</v>
      </c>
      <c r="D993" s="227">
        <v>-30.615360000000038</v>
      </c>
    </row>
    <row r="994" spans="1:4" ht="14.25" customHeight="1">
      <c r="A994" s="82">
        <v>991</v>
      </c>
      <c r="B994" s="85">
        <v>1050</v>
      </c>
      <c r="C994" s="85" t="s">
        <v>39</v>
      </c>
      <c r="D994" s="227">
        <v>-42.671999999999912</v>
      </c>
    </row>
    <row r="995" spans="1:4" ht="14.25" customHeight="1">
      <c r="A995" s="84">
        <v>992</v>
      </c>
      <c r="B995" s="85">
        <v>1053</v>
      </c>
      <c r="C995" s="85" t="s">
        <v>39</v>
      </c>
      <c r="D995" s="227">
        <v>362.05930000405999</v>
      </c>
    </row>
    <row r="996" spans="1:4" ht="14.25" customHeight="1">
      <c r="A996" s="84">
        <v>993</v>
      </c>
      <c r="B996" s="85">
        <v>1066</v>
      </c>
      <c r="C996" s="85" t="s">
        <v>39</v>
      </c>
      <c r="D996" s="227">
        <v>-213.50399999999991</v>
      </c>
    </row>
    <row r="997" spans="1:4" ht="14.25" customHeight="1">
      <c r="A997" s="82">
        <v>994</v>
      </c>
      <c r="B997" s="85">
        <v>1069</v>
      </c>
      <c r="C997" s="85" t="s">
        <v>39</v>
      </c>
      <c r="D997" s="227">
        <v>372.73400000000015</v>
      </c>
    </row>
    <row r="998" spans="1:4" ht="14.25" customHeight="1">
      <c r="A998" s="82">
        <v>995</v>
      </c>
      <c r="B998" s="85">
        <v>1079</v>
      </c>
      <c r="C998" s="85" t="s">
        <v>39</v>
      </c>
      <c r="D998" s="227">
        <v>180.32499999999999</v>
      </c>
    </row>
    <row r="999" spans="1:4" ht="14.25" customHeight="1">
      <c r="A999" s="84">
        <v>996</v>
      </c>
      <c r="B999" s="85">
        <v>1091</v>
      </c>
      <c r="C999" s="85" t="s">
        <v>39</v>
      </c>
      <c r="D999" s="227">
        <v>121.60000000000002</v>
      </c>
    </row>
    <row r="1000" spans="1:4" ht="14.25" customHeight="1">
      <c r="A1000" s="84">
        <v>997</v>
      </c>
      <c r="B1000" s="85">
        <v>1097</v>
      </c>
      <c r="C1000" s="85" t="s">
        <v>39</v>
      </c>
      <c r="D1000" s="227">
        <v>209.39</v>
      </c>
    </row>
    <row r="1001" spans="1:4" ht="14.25" customHeight="1">
      <c r="A1001" s="82">
        <v>998</v>
      </c>
      <c r="B1001" s="85">
        <v>1100</v>
      </c>
      <c r="C1001" s="85" t="s">
        <v>39</v>
      </c>
      <c r="D1001" s="227">
        <v>-1258.6500000000001</v>
      </c>
    </row>
    <row r="1002" spans="1:4" ht="14.25" customHeight="1">
      <c r="A1002" s="82">
        <v>999</v>
      </c>
      <c r="B1002" s="85">
        <v>1103</v>
      </c>
      <c r="C1002" s="85" t="s">
        <v>39</v>
      </c>
      <c r="D1002" s="227">
        <v>130.74</v>
      </c>
    </row>
    <row r="1003" spans="1:4" ht="14.25" customHeight="1">
      <c r="A1003" s="84">
        <v>1000</v>
      </c>
      <c r="B1003" s="85">
        <v>1109</v>
      </c>
      <c r="C1003" s="85" t="s">
        <v>39</v>
      </c>
      <c r="D1003" s="227">
        <v>224.08315000000005</v>
      </c>
    </row>
    <row r="1004" spans="1:4" ht="14.25" customHeight="1">
      <c r="A1004" s="84">
        <v>1001</v>
      </c>
      <c r="B1004" s="85">
        <v>1115</v>
      </c>
      <c r="C1004" s="85" t="s">
        <v>39</v>
      </c>
      <c r="D1004" s="227">
        <v>268.1232</v>
      </c>
    </row>
    <row r="1005" spans="1:4" ht="14.25" customHeight="1">
      <c r="A1005" s="82">
        <v>1002</v>
      </c>
      <c r="B1005" s="85">
        <v>1122</v>
      </c>
      <c r="C1005" s="85" t="s">
        <v>39</v>
      </c>
      <c r="D1005" s="227">
        <v>120.04986</v>
      </c>
    </row>
    <row r="1006" spans="1:4" ht="14.25" customHeight="1">
      <c r="A1006" s="82">
        <v>1003</v>
      </c>
      <c r="B1006" s="85">
        <v>1125</v>
      </c>
      <c r="C1006" s="85" t="s">
        <v>39</v>
      </c>
      <c r="D1006" s="227">
        <v>516.42544999999996</v>
      </c>
    </row>
    <row r="1007" spans="1:4" ht="14.25" customHeight="1">
      <c r="A1007" s="84">
        <v>1004</v>
      </c>
      <c r="B1007" s="85">
        <v>1126</v>
      </c>
      <c r="C1007" s="85" t="s">
        <v>39</v>
      </c>
      <c r="D1007" s="227">
        <v>189.221825</v>
      </c>
    </row>
    <row r="1008" spans="1:4" ht="14.25" customHeight="1">
      <c r="A1008" s="84">
        <v>1005</v>
      </c>
      <c r="B1008" s="55">
        <v>1130</v>
      </c>
      <c r="C1008" s="85" t="s">
        <v>39</v>
      </c>
      <c r="D1008" s="227">
        <v>342.55607500000002</v>
      </c>
    </row>
    <row r="1009" spans="1:4" ht="14.25" customHeight="1">
      <c r="A1009" s="82">
        <v>1006</v>
      </c>
      <c r="B1009" s="55">
        <v>1136</v>
      </c>
      <c r="C1009" s="85" t="s">
        <v>39</v>
      </c>
      <c r="D1009" s="227">
        <v>-57.855999999999995</v>
      </c>
    </row>
    <row r="1010" spans="1:4" ht="14.25" customHeight="1">
      <c r="A1010" s="82">
        <v>1007</v>
      </c>
      <c r="B1010" s="55">
        <v>1172</v>
      </c>
      <c r="C1010" s="55" t="s">
        <v>39</v>
      </c>
      <c r="D1010" s="227">
        <v>-243.05999999999995</v>
      </c>
    </row>
    <row r="1011" spans="1:4" ht="14.25" customHeight="1">
      <c r="A1011" s="84">
        <v>1008</v>
      </c>
      <c r="B1011" s="55">
        <v>1180</v>
      </c>
      <c r="C1011" s="55" t="s">
        <v>39</v>
      </c>
      <c r="D1011" s="227">
        <v>312.04734999999999</v>
      </c>
    </row>
    <row r="1012" spans="1:4" ht="14.25" customHeight="1">
      <c r="A1012" s="84">
        <v>1009</v>
      </c>
      <c r="B1012" s="55">
        <v>1186</v>
      </c>
      <c r="C1012" s="55" t="s">
        <v>39</v>
      </c>
      <c r="D1012" s="227">
        <v>219.7835</v>
      </c>
    </row>
    <row r="1013" spans="1:4" ht="14.25" customHeight="1">
      <c r="A1013" s="82">
        <v>1010</v>
      </c>
      <c r="B1013" s="55">
        <v>1206</v>
      </c>
      <c r="C1013" s="55" t="s">
        <v>39</v>
      </c>
      <c r="D1013" s="227">
        <v>-92.816999999999894</v>
      </c>
    </row>
    <row r="1014" spans="1:4" ht="14.25" customHeight="1">
      <c r="A1014" s="82">
        <v>1011</v>
      </c>
      <c r="B1014" s="55">
        <v>1214</v>
      </c>
      <c r="C1014" s="55" t="s">
        <v>39</v>
      </c>
      <c r="D1014" s="227">
        <v>100.98999999999997</v>
      </c>
    </row>
    <row r="1015" spans="1:4" ht="14.25" customHeight="1">
      <c r="A1015" s="84">
        <v>1012</v>
      </c>
      <c r="B1015" s="55">
        <v>1221</v>
      </c>
      <c r="C1015" s="55" t="s">
        <v>39</v>
      </c>
      <c r="D1015" s="227">
        <v>277.476675</v>
      </c>
    </row>
    <row r="1016" spans="1:4" ht="14.25" customHeight="1">
      <c r="A1016" s="84">
        <v>1013</v>
      </c>
      <c r="B1016" s="55">
        <v>1254</v>
      </c>
      <c r="C1016" s="55" t="s">
        <v>39</v>
      </c>
      <c r="D1016" s="227">
        <v>-327.29559999999992</v>
      </c>
    </row>
    <row r="1017" spans="1:4" ht="14.25" customHeight="1">
      <c r="A1017" s="82">
        <v>1014</v>
      </c>
      <c r="B1017" s="55">
        <v>1264</v>
      </c>
      <c r="C1017" s="55" t="s">
        <v>39</v>
      </c>
      <c r="D1017" s="227">
        <v>10.149999999999977</v>
      </c>
    </row>
    <row r="1018" spans="1:4" ht="14.25" customHeight="1">
      <c r="A1018" s="82">
        <v>1015</v>
      </c>
      <c r="B1018" s="55">
        <v>1267</v>
      </c>
      <c r="C1018" s="55" t="s">
        <v>39</v>
      </c>
      <c r="D1018" s="227">
        <v>-107.86840000000001</v>
      </c>
    </row>
    <row r="1019" spans="1:4" ht="14.25" customHeight="1">
      <c r="A1019" s="84">
        <v>1016</v>
      </c>
      <c r="B1019" s="55">
        <v>1280</v>
      </c>
      <c r="C1019" s="55" t="s">
        <v>39</v>
      </c>
      <c r="D1019" s="227">
        <v>433.55199999999996</v>
      </c>
    </row>
    <row r="1020" spans="1:4" ht="14.25" customHeight="1">
      <c r="A1020" s="84">
        <v>1017</v>
      </c>
      <c r="B1020" s="55">
        <v>1301</v>
      </c>
      <c r="C1020" s="55" t="s">
        <v>39</v>
      </c>
      <c r="D1020" s="227">
        <v>-820.69599999999991</v>
      </c>
    </row>
    <row r="1021" spans="1:4" ht="14.25" customHeight="1">
      <c r="A1021" s="82">
        <v>1018</v>
      </c>
      <c r="B1021" s="55">
        <v>1308</v>
      </c>
      <c r="C1021" s="55" t="s">
        <v>39</v>
      </c>
      <c r="D1021" s="227">
        <v>-1277.56</v>
      </c>
    </row>
    <row r="1022" spans="1:4" ht="14.25" customHeight="1">
      <c r="A1022" s="82">
        <v>1019</v>
      </c>
      <c r="B1022" s="55">
        <v>1312</v>
      </c>
      <c r="C1022" s="55" t="s">
        <v>39</v>
      </c>
      <c r="D1022" s="227">
        <v>194.71019999999999</v>
      </c>
    </row>
    <row r="1023" spans="1:4" ht="14.25" customHeight="1">
      <c r="A1023" s="82">
        <v>1020</v>
      </c>
      <c r="B1023" s="55">
        <v>1323</v>
      </c>
      <c r="C1023" s="55" t="s">
        <v>39</v>
      </c>
      <c r="D1023" s="227">
        <v>27.120000000000118</v>
      </c>
    </row>
    <row r="1024" spans="1:4" ht="14.25" customHeight="1">
      <c r="A1024" s="84">
        <v>1021</v>
      </c>
      <c r="B1024" s="55">
        <v>1324</v>
      </c>
      <c r="C1024" s="55" t="s">
        <v>39</v>
      </c>
      <c r="D1024" s="227">
        <v>1270</v>
      </c>
    </row>
    <row r="1025" spans="1:4" ht="14.25" customHeight="1">
      <c r="A1025" s="84">
        <v>1022</v>
      </c>
      <c r="B1025" s="55">
        <v>1338</v>
      </c>
      <c r="C1025" s="55" t="s">
        <v>39</v>
      </c>
      <c r="D1025" s="227">
        <v>1275</v>
      </c>
    </row>
    <row r="1026" spans="1:4" ht="14.25" customHeight="1">
      <c r="A1026" s="82">
        <v>1023</v>
      </c>
      <c r="B1026" s="55">
        <v>1351</v>
      </c>
      <c r="C1026" s="55" t="s">
        <v>39</v>
      </c>
      <c r="D1026" s="227">
        <v>151.62670000000003</v>
      </c>
    </row>
    <row r="1027" spans="1:4" ht="14.25" customHeight="1">
      <c r="A1027" s="82">
        <v>1024</v>
      </c>
      <c r="B1027" s="55">
        <v>1352</v>
      </c>
      <c r="C1027" s="55" t="s">
        <v>39</v>
      </c>
      <c r="D1027" s="227">
        <v>548</v>
      </c>
    </row>
    <row r="1028" spans="1:4" ht="14.25" customHeight="1">
      <c r="A1028" s="84">
        <v>1025</v>
      </c>
      <c r="B1028" s="98">
        <v>1357</v>
      </c>
      <c r="C1028" s="156" t="s">
        <v>39</v>
      </c>
      <c r="D1028" s="230">
        <v>251.24</v>
      </c>
    </row>
    <row r="1029" spans="1:4" ht="14.25" customHeight="1">
      <c r="A1029" s="84">
        <v>1026</v>
      </c>
      <c r="B1029" s="55">
        <v>1370</v>
      </c>
      <c r="C1029" s="55" t="s">
        <v>39</v>
      </c>
      <c r="D1029" s="227">
        <v>612</v>
      </c>
    </row>
    <row r="1030" spans="1:4" ht="14.25" customHeight="1">
      <c r="A1030" s="82">
        <v>1027</v>
      </c>
      <c r="B1030" s="55">
        <v>1375</v>
      </c>
      <c r="C1030" s="55" t="s">
        <v>39</v>
      </c>
      <c r="D1030" s="227">
        <v>419.44</v>
      </c>
    </row>
    <row r="1031" spans="1:4" ht="14.25" customHeight="1">
      <c r="A1031" s="82">
        <v>1028</v>
      </c>
      <c r="B1031" s="55">
        <v>1376</v>
      </c>
      <c r="C1031" s="55" t="s">
        <v>39</v>
      </c>
      <c r="D1031" s="227">
        <v>52.597399999999993</v>
      </c>
    </row>
    <row r="1032" spans="1:4" ht="14.25" customHeight="1">
      <c r="A1032" s="84">
        <v>1029</v>
      </c>
      <c r="B1032" s="55">
        <v>1377</v>
      </c>
      <c r="C1032" s="55" t="s">
        <v>39</v>
      </c>
      <c r="D1032" s="227">
        <v>248</v>
      </c>
    </row>
    <row r="1033" spans="1:4" ht="14.25" customHeight="1">
      <c r="A1033" s="84">
        <v>1030</v>
      </c>
      <c r="B1033" s="55">
        <v>1381</v>
      </c>
      <c r="C1033" s="55" t="s">
        <v>39</v>
      </c>
      <c r="D1033" s="227">
        <v>74.800000000000011</v>
      </c>
    </row>
    <row r="1034" spans="1:4" ht="14.25" customHeight="1">
      <c r="A1034" s="82">
        <v>1031</v>
      </c>
      <c r="B1034" s="55">
        <v>1382</v>
      </c>
      <c r="C1034" s="55" t="s">
        <v>39</v>
      </c>
      <c r="D1034" s="227">
        <v>999.09999999999991</v>
      </c>
    </row>
    <row r="1035" spans="1:4" ht="14.25" customHeight="1">
      <c r="A1035" s="82">
        <v>1032</v>
      </c>
      <c r="B1035" s="55">
        <v>1385</v>
      </c>
      <c r="C1035" s="55" t="s">
        <v>39</v>
      </c>
      <c r="D1035" s="227">
        <v>-61.94</v>
      </c>
    </row>
    <row r="1036" spans="1:4" ht="14.25" customHeight="1">
      <c r="A1036" s="84">
        <v>1033</v>
      </c>
      <c r="B1036" s="55">
        <v>1391</v>
      </c>
      <c r="C1036" s="55" t="s">
        <v>39</v>
      </c>
      <c r="D1036" s="227">
        <v>615</v>
      </c>
    </row>
    <row r="1037" spans="1:4" ht="14.25" customHeight="1">
      <c r="A1037" s="84">
        <v>1034</v>
      </c>
      <c r="B1037" s="55">
        <v>1411</v>
      </c>
      <c r="C1037" s="55" t="s">
        <v>39</v>
      </c>
      <c r="D1037" s="227">
        <v>200</v>
      </c>
    </row>
    <row r="1038" spans="1:4" ht="14.25" customHeight="1">
      <c r="A1038" s="82">
        <v>1035</v>
      </c>
      <c r="B1038" s="55">
        <v>1435</v>
      </c>
      <c r="C1038" s="55" t="s">
        <v>39</v>
      </c>
      <c r="D1038" s="227">
        <v>-157</v>
      </c>
    </row>
    <row r="1039" spans="1:4" ht="14.25" customHeight="1">
      <c r="A1039" s="82">
        <v>1036</v>
      </c>
      <c r="B1039" s="55">
        <v>1451</v>
      </c>
      <c r="C1039" s="55" t="s">
        <v>39</v>
      </c>
      <c r="D1039" s="227">
        <v>606.59</v>
      </c>
    </row>
    <row r="1040" spans="1:4" ht="14.25" customHeight="1">
      <c r="A1040" s="84">
        <v>1037</v>
      </c>
      <c r="B1040" s="55">
        <v>1455</v>
      </c>
      <c r="C1040" s="55" t="s">
        <v>39</v>
      </c>
      <c r="D1040" s="227">
        <v>-89.4</v>
      </c>
    </row>
    <row r="1041" spans="1:4" ht="13.5" customHeight="1">
      <c r="A1041" s="84">
        <v>1038</v>
      </c>
      <c r="B1041" s="55">
        <v>1465</v>
      </c>
      <c r="C1041" s="55" t="s">
        <v>39</v>
      </c>
      <c r="D1041" s="227">
        <v>507.69000000000005</v>
      </c>
    </row>
    <row r="1042" spans="1:4">
      <c r="A1042" s="82">
        <v>1039</v>
      </c>
      <c r="B1042" s="55">
        <v>1474</v>
      </c>
      <c r="C1042" s="55" t="s">
        <v>39</v>
      </c>
      <c r="D1042" s="227">
        <v>1325</v>
      </c>
    </row>
    <row r="1043" spans="1:4" ht="15" hidden="1" customHeight="1">
      <c r="A1043" s="82">
        <v>1040</v>
      </c>
      <c r="B1043" s="55">
        <v>1478</v>
      </c>
      <c r="C1043" s="55" t="s">
        <v>39</v>
      </c>
      <c r="D1043" s="227">
        <v>1190</v>
      </c>
    </row>
    <row r="1044" spans="1:4">
      <c r="A1044" s="84">
        <v>1041</v>
      </c>
      <c r="B1044" s="55">
        <v>1482</v>
      </c>
      <c r="C1044" s="55" t="s">
        <v>39</v>
      </c>
      <c r="D1044" s="227">
        <v>638</v>
      </c>
    </row>
    <row r="1045" spans="1:4">
      <c r="A1045" s="84">
        <v>1042</v>
      </c>
      <c r="B1045" s="55">
        <v>1483</v>
      </c>
      <c r="C1045" s="55" t="s">
        <v>39</v>
      </c>
      <c r="D1045" s="227">
        <v>-654.72</v>
      </c>
    </row>
    <row r="1046" spans="1:4">
      <c r="A1046" s="82">
        <v>1043</v>
      </c>
      <c r="B1046" s="55">
        <v>1493</v>
      </c>
      <c r="C1046" s="55" t="s">
        <v>39</v>
      </c>
      <c r="D1046" s="227">
        <v>682</v>
      </c>
    </row>
    <row r="1047" spans="1:4">
      <c r="A1047" s="82">
        <v>1044</v>
      </c>
      <c r="B1047" s="55">
        <v>1494</v>
      </c>
      <c r="C1047" s="55" t="s">
        <v>39</v>
      </c>
      <c r="D1047" s="227">
        <v>787</v>
      </c>
    </row>
    <row r="1048" spans="1:4">
      <c r="A1048" s="84">
        <v>1045</v>
      </c>
      <c r="B1048" s="55">
        <v>1501</v>
      </c>
      <c r="C1048" s="55" t="s">
        <v>39</v>
      </c>
      <c r="D1048" s="227">
        <v>113.55200000000002</v>
      </c>
    </row>
    <row r="1049" spans="1:4">
      <c r="A1049" s="84">
        <v>1046</v>
      </c>
      <c r="B1049" s="55">
        <v>1505</v>
      </c>
      <c r="C1049" s="55" t="s">
        <v>39</v>
      </c>
      <c r="D1049" s="227">
        <v>101.51</v>
      </c>
    </row>
    <row r="1050" spans="1:4">
      <c r="A1050" s="82">
        <v>1047</v>
      </c>
      <c r="B1050" s="55">
        <v>1512</v>
      </c>
      <c r="C1050" s="55" t="s">
        <v>39</v>
      </c>
      <c r="D1050" s="227">
        <v>1190</v>
      </c>
    </row>
    <row r="1051" spans="1:4">
      <c r="A1051" s="82">
        <v>1048</v>
      </c>
      <c r="B1051" s="55">
        <v>1513</v>
      </c>
      <c r="C1051" s="55" t="s">
        <v>39</v>
      </c>
      <c r="D1051" s="227">
        <v>179</v>
      </c>
    </row>
    <row r="1052" spans="1:4">
      <c r="A1052" s="84">
        <v>1049</v>
      </c>
      <c r="B1052" s="55">
        <v>1517</v>
      </c>
      <c r="C1052" s="55" t="s">
        <v>39</v>
      </c>
      <c r="D1052" s="227">
        <v>516.96</v>
      </c>
    </row>
    <row r="1053" spans="1:4">
      <c r="A1053" s="84">
        <v>1050</v>
      </c>
      <c r="B1053" s="55">
        <v>1518</v>
      </c>
      <c r="C1053" s="55" t="s">
        <v>39</v>
      </c>
      <c r="D1053" s="227">
        <v>415.81999999999994</v>
      </c>
    </row>
    <row r="1054" spans="1:4" ht="27" hidden="1" customHeight="1">
      <c r="A1054" s="82">
        <v>1051</v>
      </c>
      <c r="B1054" s="85">
        <v>1526</v>
      </c>
      <c r="C1054" s="85" t="s">
        <v>39</v>
      </c>
      <c r="D1054" s="227">
        <v>-230</v>
      </c>
    </row>
    <row r="1055" spans="1:4">
      <c r="A1055" s="82">
        <v>1052</v>
      </c>
      <c r="B1055" s="85">
        <v>1530</v>
      </c>
      <c r="C1055" s="85" t="s">
        <v>39</v>
      </c>
      <c r="D1055" s="227">
        <v>677.99999999999989</v>
      </c>
    </row>
    <row r="1056" spans="1:4">
      <c r="A1056" s="84">
        <v>1053</v>
      </c>
      <c r="B1056" s="85">
        <v>1532</v>
      </c>
      <c r="C1056" s="85" t="s">
        <v>39</v>
      </c>
      <c r="D1056" s="227">
        <v>-1665.69</v>
      </c>
    </row>
    <row r="1057" spans="1:4">
      <c r="A1057" s="84">
        <v>1054</v>
      </c>
      <c r="B1057" s="85">
        <v>1537</v>
      </c>
      <c r="C1057" s="85" t="s">
        <v>39</v>
      </c>
      <c r="D1057" s="227">
        <v>848.05400000000009</v>
      </c>
    </row>
    <row r="1058" spans="1:4">
      <c r="A1058" s="82">
        <v>1055</v>
      </c>
      <c r="B1058" s="85">
        <v>1548</v>
      </c>
      <c r="C1058" s="85" t="s">
        <v>39</v>
      </c>
      <c r="D1058" s="227">
        <v>879.8</v>
      </c>
    </row>
    <row r="1059" spans="1:4">
      <c r="A1059" s="82">
        <v>1056</v>
      </c>
      <c r="B1059" s="85">
        <v>1551</v>
      </c>
      <c r="C1059" s="85" t="s">
        <v>39</v>
      </c>
      <c r="D1059" s="227">
        <v>916.23</v>
      </c>
    </row>
    <row r="1060" spans="1:4">
      <c r="A1060" s="84">
        <v>1057</v>
      </c>
      <c r="B1060" s="85">
        <v>1553</v>
      </c>
      <c r="C1060" s="85" t="s">
        <v>39</v>
      </c>
      <c r="D1060" s="227">
        <v>-521.1</v>
      </c>
    </row>
    <row r="1061" spans="1:4">
      <c r="A1061" s="84">
        <v>1058</v>
      </c>
      <c r="B1061" s="85">
        <v>1562</v>
      </c>
      <c r="C1061" s="55" t="s">
        <v>39</v>
      </c>
      <c r="D1061" s="227">
        <v>120.59999999999991</v>
      </c>
    </row>
    <row r="1062" spans="1:4">
      <c r="A1062" s="82">
        <v>1059</v>
      </c>
      <c r="B1062" s="85">
        <v>1566</v>
      </c>
      <c r="C1062" s="55" t="s">
        <v>39</v>
      </c>
      <c r="D1062" s="227">
        <v>750</v>
      </c>
    </row>
    <row r="1063" spans="1:4">
      <c r="A1063" s="82">
        <v>1060</v>
      </c>
      <c r="B1063" s="85">
        <v>1576</v>
      </c>
      <c r="C1063" s="55" t="s">
        <v>39</v>
      </c>
      <c r="D1063" s="227">
        <v>-272</v>
      </c>
    </row>
    <row r="1064" spans="1:4">
      <c r="A1064" s="84">
        <v>1061</v>
      </c>
      <c r="B1064" s="85">
        <v>1582</v>
      </c>
      <c r="C1064" s="55" t="s">
        <v>39</v>
      </c>
      <c r="D1064" s="227">
        <v>340</v>
      </c>
    </row>
    <row r="1065" spans="1:4">
      <c r="A1065" s="84">
        <v>1062</v>
      </c>
      <c r="B1065" s="85">
        <v>1584</v>
      </c>
      <c r="C1065" s="85" t="s">
        <v>39</v>
      </c>
      <c r="D1065" s="227">
        <v>-81.210000000000093</v>
      </c>
    </row>
    <row r="1066" spans="1:4">
      <c r="A1066" s="82">
        <v>1063</v>
      </c>
      <c r="B1066" s="85">
        <v>1589</v>
      </c>
      <c r="C1066" s="85" t="s">
        <v>39</v>
      </c>
      <c r="D1066" s="227">
        <v>676.2</v>
      </c>
    </row>
    <row r="1067" spans="1:4">
      <c r="A1067" s="82">
        <v>1064</v>
      </c>
      <c r="B1067" s="85">
        <v>1593</v>
      </c>
      <c r="C1067" s="85" t="s">
        <v>39</v>
      </c>
      <c r="D1067" s="227">
        <v>-472.9</v>
      </c>
    </row>
    <row r="1068" spans="1:4">
      <c r="A1068" s="84">
        <v>1065</v>
      </c>
      <c r="B1068" s="85">
        <v>1606</v>
      </c>
      <c r="C1068" s="85" t="s">
        <v>39</v>
      </c>
      <c r="D1068" s="227">
        <v>-1038.75</v>
      </c>
    </row>
    <row r="1069" spans="1:4">
      <c r="A1069" s="84">
        <v>1066</v>
      </c>
      <c r="B1069" s="85">
        <v>1609</v>
      </c>
      <c r="C1069" s="85" t="s">
        <v>39</v>
      </c>
      <c r="D1069" s="227">
        <v>401.81099999999998</v>
      </c>
    </row>
    <row r="1070" spans="1:4">
      <c r="A1070" s="82">
        <v>1067</v>
      </c>
      <c r="B1070" s="85">
        <v>1628</v>
      </c>
      <c r="C1070" s="85" t="s">
        <v>39</v>
      </c>
      <c r="D1070" s="227">
        <v>247.29999999999995</v>
      </c>
    </row>
    <row r="1071" spans="1:4">
      <c r="A1071" s="82">
        <v>1068</v>
      </c>
      <c r="B1071" s="85">
        <v>1634</v>
      </c>
      <c r="C1071" s="85" t="s">
        <v>39</v>
      </c>
      <c r="D1071" s="227">
        <v>1165.5</v>
      </c>
    </row>
    <row r="1072" spans="1:4">
      <c r="A1072" s="84">
        <v>1069</v>
      </c>
      <c r="B1072" s="85">
        <v>1635</v>
      </c>
      <c r="C1072" s="85" t="s">
        <v>39</v>
      </c>
      <c r="D1072" s="227">
        <v>252.29999999999995</v>
      </c>
    </row>
    <row r="1073" spans="1:4">
      <c r="A1073" s="84">
        <v>1070</v>
      </c>
      <c r="B1073" s="85">
        <v>1637</v>
      </c>
      <c r="C1073" s="85" t="s">
        <v>39</v>
      </c>
      <c r="D1073" s="227">
        <v>1105</v>
      </c>
    </row>
    <row r="1074" spans="1:4">
      <c r="A1074" s="82">
        <v>1071</v>
      </c>
      <c r="B1074" s="85">
        <v>1643</v>
      </c>
      <c r="C1074" s="85" t="s">
        <v>39</v>
      </c>
      <c r="D1074" s="227">
        <v>-173</v>
      </c>
    </row>
    <row r="1075" spans="1:4">
      <c r="A1075" s="82">
        <v>1072</v>
      </c>
      <c r="B1075" s="85">
        <v>1644</v>
      </c>
      <c r="C1075" s="85" t="s">
        <v>39</v>
      </c>
      <c r="D1075" s="227">
        <v>82.299999999999955</v>
      </c>
    </row>
    <row r="1076" spans="1:4">
      <c r="A1076" s="84">
        <v>1073</v>
      </c>
      <c r="B1076" s="85">
        <v>1645</v>
      </c>
      <c r="C1076" s="85" t="s">
        <v>39</v>
      </c>
      <c r="D1076" s="227">
        <v>-59.6</v>
      </c>
    </row>
    <row r="1077" spans="1:4">
      <c r="A1077" s="84">
        <v>1074</v>
      </c>
      <c r="B1077" s="85">
        <v>1646</v>
      </c>
      <c r="C1077" s="85" t="s">
        <v>39</v>
      </c>
      <c r="D1077" s="227">
        <v>337</v>
      </c>
    </row>
    <row r="1078" spans="1:4" ht="24" hidden="1" customHeight="1">
      <c r="A1078" s="82">
        <v>1075</v>
      </c>
      <c r="B1078" s="85">
        <v>1651</v>
      </c>
      <c r="C1078" s="85" t="s">
        <v>39</v>
      </c>
      <c r="D1078" s="227">
        <v>167</v>
      </c>
    </row>
    <row r="1079" spans="1:4">
      <c r="A1079" s="82">
        <v>1076</v>
      </c>
      <c r="B1079" s="85">
        <v>1653</v>
      </c>
      <c r="C1079" s="85" t="s">
        <v>39</v>
      </c>
      <c r="D1079" s="227">
        <v>1370</v>
      </c>
    </row>
    <row r="1080" spans="1:4">
      <c r="A1080" s="84">
        <v>1077</v>
      </c>
      <c r="B1080" s="85">
        <v>1665</v>
      </c>
      <c r="C1080" s="85" t="s">
        <v>39</v>
      </c>
      <c r="D1080" s="227">
        <v>240</v>
      </c>
    </row>
    <row r="1081" spans="1:4">
      <c r="A1081" s="84">
        <v>1078</v>
      </c>
      <c r="B1081" s="85">
        <v>1666</v>
      </c>
      <c r="C1081" s="85" t="s">
        <v>39</v>
      </c>
      <c r="D1081" s="227">
        <v>128</v>
      </c>
    </row>
    <row r="1082" spans="1:4">
      <c r="A1082" s="82">
        <v>1079</v>
      </c>
      <c r="B1082" s="85">
        <v>1670</v>
      </c>
      <c r="C1082" s="85" t="s">
        <v>39</v>
      </c>
      <c r="D1082" s="227">
        <v>802</v>
      </c>
    </row>
    <row r="1083" spans="1:4">
      <c r="A1083" s="82">
        <v>1080</v>
      </c>
      <c r="B1083" s="85">
        <v>1678</v>
      </c>
      <c r="C1083" s="85" t="s">
        <v>39</v>
      </c>
      <c r="D1083" s="227">
        <v>182</v>
      </c>
    </row>
    <row r="1084" spans="1:4">
      <c r="A1084" s="84">
        <v>1081</v>
      </c>
      <c r="B1084" s="85">
        <v>1683</v>
      </c>
      <c r="C1084" s="85" t="s">
        <v>39</v>
      </c>
      <c r="D1084" s="227">
        <v>-1265.4999999999998</v>
      </c>
    </row>
    <row r="1085" spans="1:4">
      <c r="A1085" s="84">
        <v>1082</v>
      </c>
      <c r="B1085" s="85">
        <v>1690</v>
      </c>
      <c r="C1085" s="85" t="s">
        <v>39</v>
      </c>
      <c r="D1085" s="227">
        <v>120</v>
      </c>
    </row>
    <row r="1086" spans="1:4">
      <c r="A1086" s="82">
        <v>1083</v>
      </c>
      <c r="B1086" s="85">
        <v>1692</v>
      </c>
      <c r="C1086" s="85" t="s">
        <v>39</v>
      </c>
      <c r="D1086" s="227">
        <v>44.200000000000045</v>
      </c>
    </row>
    <row r="1087" spans="1:4">
      <c r="A1087" s="82">
        <v>1084</v>
      </c>
      <c r="B1087" s="85">
        <v>1702</v>
      </c>
      <c r="C1087" s="85" t="s">
        <v>39</v>
      </c>
      <c r="D1087" s="227">
        <v>945</v>
      </c>
    </row>
    <row r="1088" spans="1:4">
      <c r="A1088" s="82">
        <v>1085</v>
      </c>
      <c r="B1088" s="85">
        <v>1711</v>
      </c>
      <c r="C1088" s="85" t="s">
        <v>39</v>
      </c>
      <c r="D1088" s="227">
        <v>-191.70000000000005</v>
      </c>
    </row>
    <row r="1089" spans="1:4" ht="24" customHeight="1">
      <c r="A1089" s="84">
        <v>1086</v>
      </c>
      <c r="B1089" s="85">
        <v>1712</v>
      </c>
      <c r="C1089" s="85" t="s">
        <v>39</v>
      </c>
      <c r="D1089" s="227">
        <v>292.98</v>
      </c>
    </row>
    <row r="1090" spans="1:4" ht="24.75" customHeight="1">
      <c r="A1090" s="84">
        <v>1087</v>
      </c>
      <c r="B1090" s="85">
        <v>1713</v>
      </c>
      <c r="C1090" s="85" t="s">
        <v>39</v>
      </c>
      <c r="D1090" s="227">
        <v>800.40000000000009</v>
      </c>
    </row>
    <row r="1091" spans="1:4" s="155" customFormat="1" ht="15" hidden="1" customHeight="1">
      <c r="A1091" s="82">
        <v>1088</v>
      </c>
      <c r="B1091" s="85">
        <v>1717</v>
      </c>
      <c r="C1091" s="85" t="s">
        <v>39</v>
      </c>
      <c r="D1091" s="227">
        <v>-166.69000000000005</v>
      </c>
    </row>
    <row r="1092" spans="1:4" s="155" customFormat="1" ht="17.25" customHeight="1">
      <c r="A1092" s="82">
        <v>1089</v>
      </c>
      <c r="B1092" s="85">
        <v>1719</v>
      </c>
      <c r="C1092" s="85" t="s">
        <v>39</v>
      </c>
      <c r="D1092" s="227">
        <v>-597.52</v>
      </c>
    </row>
    <row r="1093" spans="1:4" s="155" customFormat="1" ht="17.25" customHeight="1">
      <c r="A1093" s="84">
        <v>1090</v>
      </c>
      <c r="B1093" s="85">
        <v>1720</v>
      </c>
      <c r="C1093" s="85" t="s">
        <v>39</v>
      </c>
      <c r="D1093" s="227">
        <v>-796.37000000000012</v>
      </c>
    </row>
    <row r="1094" spans="1:4" s="155" customFormat="1" ht="17.25" customHeight="1">
      <c r="A1094" s="84">
        <v>1091</v>
      </c>
      <c r="B1094" s="85">
        <v>1721</v>
      </c>
      <c r="C1094" s="85" t="s">
        <v>39</v>
      </c>
      <c r="D1094" s="227">
        <v>-299.10000000000002</v>
      </c>
    </row>
    <row r="1095" spans="1:4" s="155" customFormat="1" ht="17.25" customHeight="1">
      <c r="A1095" s="82">
        <v>1092</v>
      </c>
      <c r="B1095" s="85">
        <v>1724</v>
      </c>
      <c r="C1095" s="85" t="s">
        <v>39</v>
      </c>
      <c r="D1095" s="227">
        <v>279.28000000000003</v>
      </c>
    </row>
    <row r="1096" spans="1:4" s="155" customFormat="1" ht="17.25" customHeight="1">
      <c r="A1096" s="82">
        <v>1093</v>
      </c>
      <c r="B1096" s="85">
        <v>1725</v>
      </c>
      <c r="C1096" s="85" t="s">
        <v>39</v>
      </c>
      <c r="D1096" s="227">
        <v>134.3599999999999</v>
      </c>
    </row>
    <row r="1097" spans="1:4" s="155" customFormat="1" ht="17.25" customHeight="1">
      <c r="A1097" s="84">
        <v>1094</v>
      </c>
      <c r="B1097" s="85">
        <v>1727</v>
      </c>
      <c r="C1097" s="85" t="s">
        <v>39</v>
      </c>
      <c r="D1097" s="227">
        <v>80</v>
      </c>
    </row>
    <row r="1098" spans="1:4" s="155" customFormat="1" ht="17.25" customHeight="1">
      <c r="A1098" s="84">
        <v>1095</v>
      </c>
      <c r="B1098" s="85">
        <v>1729</v>
      </c>
      <c r="C1098" s="85" t="s">
        <v>39</v>
      </c>
      <c r="D1098" s="227">
        <v>50</v>
      </c>
    </row>
    <row r="1099" spans="1:4" s="155" customFormat="1" ht="17.25" customHeight="1">
      <c r="A1099" s="82">
        <v>1096</v>
      </c>
      <c r="B1099" s="85">
        <v>1740</v>
      </c>
      <c r="C1099" s="85" t="s">
        <v>39</v>
      </c>
      <c r="D1099" s="227">
        <v>556.20000000000005</v>
      </c>
    </row>
    <row r="1100" spans="1:4" s="155" customFormat="1" ht="17.25" customHeight="1">
      <c r="A1100" s="82">
        <v>1097</v>
      </c>
      <c r="B1100" s="85">
        <v>1754</v>
      </c>
      <c r="C1100" s="85" t="s">
        <v>39</v>
      </c>
      <c r="D1100" s="227">
        <v>-697.20999999999992</v>
      </c>
    </row>
    <row r="1101" spans="1:4" s="155" customFormat="1" ht="17.25" customHeight="1">
      <c r="A1101" s="82">
        <v>1098</v>
      </c>
      <c r="B1101" s="85">
        <v>1755</v>
      </c>
      <c r="C1101" s="85" t="s">
        <v>39</v>
      </c>
      <c r="D1101" s="227">
        <v>-1663.6999999999998</v>
      </c>
    </row>
    <row r="1102" spans="1:4" s="155" customFormat="1" ht="17.25" customHeight="1">
      <c r="A1102" s="82">
        <v>1099</v>
      </c>
      <c r="B1102" s="85">
        <v>1760</v>
      </c>
      <c r="C1102" s="85" t="s">
        <v>39</v>
      </c>
      <c r="D1102" s="227">
        <v>36.670000000000073</v>
      </c>
    </row>
    <row r="1103" spans="1:4" s="155" customFormat="1" ht="17.25" customHeight="1">
      <c r="A1103" s="84">
        <v>1100</v>
      </c>
      <c r="B1103" s="85">
        <v>1761</v>
      </c>
      <c r="C1103" s="85" t="s">
        <v>39</v>
      </c>
      <c r="D1103" s="227">
        <v>-500.6</v>
      </c>
    </row>
    <row r="1104" spans="1:4" s="155" customFormat="1" ht="17.25" customHeight="1">
      <c r="A1104" s="84">
        <v>1101</v>
      </c>
      <c r="B1104" s="85">
        <v>1762</v>
      </c>
      <c r="C1104" s="85" t="s">
        <v>39</v>
      </c>
      <c r="D1104" s="227">
        <v>32.200000000000045</v>
      </c>
    </row>
    <row r="1105" spans="1:4" s="155" customFormat="1" ht="17.25" customHeight="1">
      <c r="A1105" s="82">
        <v>1102</v>
      </c>
      <c r="B1105" s="85">
        <v>1764</v>
      </c>
      <c r="C1105" s="85" t="s">
        <v>39</v>
      </c>
      <c r="D1105" s="227">
        <v>825.6</v>
      </c>
    </row>
    <row r="1106" spans="1:4" s="155" customFormat="1" ht="17.25" customHeight="1">
      <c r="A1106" s="82">
        <v>1103</v>
      </c>
      <c r="B1106" s="85">
        <v>1774</v>
      </c>
      <c r="C1106" s="85" t="s">
        <v>39</v>
      </c>
      <c r="D1106" s="227">
        <v>300</v>
      </c>
    </row>
    <row r="1107" spans="1:4" s="155" customFormat="1" ht="17.25" customHeight="1">
      <c r="A1107" s="84">
        <v>1104</v>
      </c>
      <c r="B1107" s="85">
        <v>1775</v>
      </c>
      <c r="C1107" s="85" t="s">
        <v>39</v>
      </c>
      <c r="D1107" s="227">
        <v>203.20000000000005</v>
      </c>
    </row>
    <row r="1108" spans="1:4" s="155" customFormat="1" ht="17.25" customHeight="1">
      <c r="A1108" s="84">
        <v>1105</v>
      </c>
      <c r="B1108" s="85">
        <v>1777</v>
      </c>
      <c r="C1108" s="85" t="s">
        <v>39</v>
      </c>
      <c r="D1108" s="227">
        <v>620.29999999999995</v>
      </c>
    </row>
    <row r="1109" spans="1:4" s="155" customFormat="1" ht="17.25" customHeight="1">
      <c r="A1109" s="84">
        <v>1106</v>
      </c>
      <c r="B1109" s="85">
        <v>1779</v>
      </c>
      <c r="C1109" s="85" t="s">
        <v>39</v>
      </c>
      <c r="D1109" s="227">
        <v>-434.99</v>
      </c>
    </row>
    <row r="1110" spans="1:4" s="155" customFormat="1" ht="17.25" customHeight="1">
      <c r="A1110" s="84">
        <v>1107</v>
      </c>
      <c r="B1110" s="85">
        <v>1783</v>
      </c>
      <c r="C1110" s="85" t="s">
        <v>39</v>
      </c>
      <c r="D1110" s="227">
        <v>210.7</v>
      </c>
    </row>
    <row r="1111" spans="1:4" s="155" customFormat="1" ht="17.25" customHeight="1">
      <c r="A1111" s="84">
        <v>1108</v>
      </c>
      <c r="B1111" s="85">
        <v>1789</v>
      </c>
      <c r="C1111" s="85" t="s">
        <v>39</v>
      </c>
      <c r="D1111" s="227">
        <v>-174</v>
      </c>
    </row>
    <row r="1112" spans="1:4" s="155" customFormat="1" ht="17.25" customHeight="1">
      <c r="A1112" s="84">
        <v>1109</v>
      </c>
      <c r="B1112" s="85">
        <v>1793</v>
      </c>
      <c r="C1112" s="85" t="s">
        <v>39</v>
      </c>
      <c r="D1112" s="227">
        <v>488.19000000000005</v>
      </c>
    </row>
    <row r="1113" spans="1:4" s="155" customFormat="1" ht="17.25" customHeight="1">
      <c r="A1113" s="84">
        <v>1110</v>
      </c>
      <c r="B1113" s="85">
        <v>1794</v>
      </c>
      <c r="C1113" s="85" t="s">
        <v>39</v>
      </c>
      <c r="D1113" s="227">
        <v>646.4</v>
      </c>
    </row>
    <row r="1114" spans="1:4" s="155" customFormat="1" ht="17.25" customHeight="1">
      <c r="A1114" s="84">
        <v>1111</v>
      </c>
      <c r="B1114" s="85">
        <v>1819</v>
      </c>
      <c r="C1114" s="85" t="s">
        <v>39</v>
      </c>
      <c r="D1114" s="227">
        <v>210</v>
      </c>
    </row>
    <row r="1115" spans="1:4" s="155" customFormat="1" ht="17.25" customHeight="1">
      <c r="A1115" s="84">
        <v>1112</v>
      </c>
      <c r="B1115" s="85">
        <v>1823</v>
      </c>
      <c r="C1115" s="85" t="s">
        <v>39</v>
      </c>
      <c r="D1115" s="227">
        <v>965.5</v>
      </c>
    </row>
    <row r="1116" spans="1:4" s="155" customFormat="1" ht="17.25" customHeight="1">
      <c r="A1116" s="84">
        <v>1113</v>
      </c>
      <c r="B1116" s="85">
        <v>1825</v>
      </c>
      <c r="C1116" s="85" t="s">
        <v>39</v>
      </c>
      <c r="D1116" s="227">
        <v>728.6</v>
      </c>
    </row>
    <row r="1117" spans="1:4" s="155" customFormat="1" ht="17.25" customHeight="1">
      <c r="A1117" s="84">
        <v>1114</v>
      </c>
      <c r="B1117" s="85">
        <v>1834</v>
      </c>
      <c r="C1117" s="85" t="s">
        <v>39</v>
      </c>
      <c r="D1117" s="227">
        <v>-2797</v>
      </c>
    </row>
    <row r="1118" spans="1:4" s="155" customFormat="1" ht="17.25" customHeight="1">
      <c r="A1118" s="84">
        <v>1115</v>
      </c>
      <c r="B1118" s="85">
        <v>1835</v>
      </c>
      <c r="C1118" s="85" t="s">
        <v>39</v>
      </c>
      <c r="D1118" s="227">
        <v>-2327.3000000000002</v>
      </c>
    </row>
    <row r="1119" spans="1:4" s="155" customFormat="1" ht="17.25" customHeight="1">
      <c r="A1119" s="84">
        <v>1116</v>
      </c>
      <c r="B1119" s="85">
        <v>1836</v>
      </c>
      <c r="C1119" s="85" t="s">
        <v>39</v>
      </c>
      <c r="D1119" s="227">
        <v>-49</v>
      </c>
    </row>
    <row r="1120" spans="1:4" s="155" customFormat="1" ht="17.25" customHeight="1">
      <c r="A1120" s="84">
        <v>1117</v>
      </c>
      <c r="B1120" s="85">
        <v>1837</v>
      </c>
      <c r="C1120" s="85" t="s">
        <v>39</v>
      </c>
      <c r="D1120" s="227">
        <v>850</v>
      </c>
    </row>
    <row r="1121" spans="1:4" s="155" customFormat="1" ht="17.25" customHeight="1">
      <c r="A1121" s="84">
        <v>1118</v>
      </c>
      <c r="B1121" s="85">
        <v>1844</v>
      </c>
      <c r="C1121" s="85" t="s">
        <v>39</v>
      </c>
      <c r="D1121" s="227">
        <v>-2027.39</v>
      </c>
    </row>
    <row r="1122" spans="1:4" s="155" customFormat="1" ht="17.25" customHeight="1">
      <c r="A1122" s="84">
        <v>1119</v>
      </c>
      <c r="B1122" s="85">
        <v>1846</v>
      </c>
      <c r="C1122" s="85" t="s">
        <v>39</v>
      </c>
      <c r="D1122" s="227">
        <v>575.20000000000005</v>
      </c>
    </row>
    <row r="1123" spans="1:4" s="155" customFormat="1" ht="17.25" customHeight="1">
      <c r="A1123" s="84">
        <v>1120</v>
      </c>
      <c r="B1123" s="85">
        <v>1851</v>
      </c>
      <c r="C1123" s="85" t="s">
        <v>39</v>
      </c>
      <c r="D1123" s="227">
        <v>523.5</v>
      </c>
    </row>
    <row r="1124" spans="1:4" s="155" customFormat="1" ht="17.25" customHeight="1">
      <c r="A1124" s="84">
        <v>1121</v>
      </c>
      <c r="B1124" s="85">
        <v>1852</v>
      </c>
      <c r="C1124" s="85" t="s">
        <v>39</v>
      </c>
      <c r="D1124" s="227">
        <v>-2244.4900000000002</v>
      </c>
    </row>
    <row r="1125" spans="1:4" s="155" customFormat="1" ht="17.25" customHeight="1">
      <c r="A1125" s="84">
        <v>1122</v>
      </c>
      <c r="B1125" s="85">
        <v>1857</v>
      </c>
      <c r="C1125" s="85" t="s">
        <v>39</v>
      </c>
      <c r="D1125" s="227">
        <v>1265</v>
      </c>
    </row>
    <row r="1126" spans="1:4" s="155" customFormat="1" ht="17.25" customHeight="1">
      <c r="A1126" s="84">
        <v>1123</v>
      </c>
      <c r="B1126" s="85">
        <v>1870</v>
      </c>
      <c r="C1126" s="85" t="s">
        <v>39</v>
      </c>
      <c r="D1126" s="227">
        <v>-331.63</v>
      </c>
    </row>
    <row r="1127" spans="1:4" s="155" customFormat="1" ht="17.25" customHeight="1">
      <c r="A1127" s="84">
        <v>1124</v>
      </c>
      <c r="B1127" s="85">
        <v>1872</v>
      </c>
      <c r="C1127" s="85" t="s">
        <v>39</v>
      </c>
      <c r="D1127" s="227">
        <v>66.349999999999909</v>
      </c>
    </row>
    <row r="1128" spans="1:4" s="155" customFormat="1" ht="17.25" customHeight="1">
      <c r="A1128" s="84">
        <v>1125</v>
      </c>
      <c r="B1128" s="85">
        <v>1873</v>
      </c>
      <c r="C1128" s="85" t="s">
        <v>39</v>
      </c>
      <c r="D1128" s="227">
        <v>-1085.1500000000001</v>
      </c>
    </row>
    <row r="1129" spans="1:4" s="155" customFormat="1" ht="17.25" customHeight="1">
      <c r="A1129" s="84">
        <v>1126</v>
      </c>
      <c r="B1129" s="85">
        <v>1874</v>
      </c>
      <c r="C1129" s="85" t="s">
        <v>39</v>
      </c>
      <c r="D1129" s="227">
        <v>123.30000000000004</v>
      </c>
    </row>
    <row r="1130" spans="1:4" s="155" customFormat="1" ht="17.25" customHeight="1">
      <c r="A1130" s="84">
        <v>1127</v>
      </c>
      <c r="B1130" s="85">
        <v>1876</v>
      </c>
      <c r="C1130" s="85" t="s">
        <v>39</v>
      </c>
      <c r="D1130" s="227">
        <v>-272.3</v>
      </c>
    </row>
    <row r="1131" spans="1:4" s="155" customFormat="1" ht="17.25" customHeight="1">
      <c r="A1131" s="84">
        <v>1128</v>
      </c>
      <c r="B1131" s="85">
        <v>1889</v>
      </c>
      <c r="C1131" s="85" t="s">
        <v>39</v>
      </c>
      <c r="D1131" s="227">
        <v>239.31</v>
      </c>
    </row>
    <row r="1132" spans="1:4" s="155" customFormat="1" ht="17.25" customHeight="1">
      <c r="A1132" s="84">
        <v>1129</v>
      </c>
      <c r="B1132" s="85">
        <v>1899</v>
      </c>
      <c r="C1132" s="85" t="s">
        <v>39</v>
      </c>
      <c r="D1132" s="227">
        <v>203</v>
      </c>
    </row>
    <row r="1133" spans="1:4" s="155" customFormat="1" ht="17.25" customHeight="1">
      <c r="A1133" s="84">
        <v>1130</v>
      </c>
      <c r="B1133" s="85">
        <v>1908</v>
      </c>
      <c r="C1133" s="85" t="s">
        <v>39</v>
      </c>
      <c r="D1133" s="227">
        <v>633</v>
      </c>
    </row>
    <row r="1134" spans="1:4" s="155" customFormat="1" ht="17.25" customHeight="1">
      <c r="A1134" s="84">
        <v>1131</v>
      </c>
      <c r="B1134" s="85">
        <v>1918</v>
      </c>
      <c r="C1134" s="85" t="s">
        <v>39</v>
      </c>
      <c r="D1134" s="227">
        <v>1250</v>
      </c>
    </row>
    <row r="1135" spans="1:4" s="155" customFormat="1" ht="17.25" customHeight="1">
      <c r="A1135" s="84">
        <v>1132</v>
      </c>
      <c r="B1135" s="85">
        <v>1945</v>
      </c>
      <c r="C1135" s="85" t="s">
        <v>39</v>
      </c>
      <c r="D1135" s="227">
        <v>66</v>
      </c>
    </row>
    <row r="1136" spans="1:4" s="155" customFormat="1" ht="17.25" customHeight="1">
      <c r="A1136" s="84">
        <v>1133</v>
      </c>
      <c r="B1136" s="85">
        <v>1960</v>
      </c>
      <c r="C1136" s="85" t="s">
        <v>39</v>
      </c>
      <c r="D1136" s="227">
        <v>210.71000000000004</v>
      </c>
    </row>
    <row r="1137" spans="1:4" s="155" customFormat="1" ht="17.25" customHeight="1">
      <c r="A1137" s="84">
        <v>1134</v>
      </c>
      <c r="B1137" s="85">
        <v>1966</v>
      </c>
      <c r="C1137" s="85" t="s">
        <v>39</v>
      </c>
      <c r="D1137" s="227">
        <v>175.04999999999995</v>
      </c>
    </row>
    <row r="1138" spans="1:4" s="155" customFormat="1" ht="17.25" customHeight="1">
      <c r="A1138" s="84">
        <v>1135</v>
      </c>
      <c r="B1138" s="85">
        <v>1968</v>
      </c>
      <c r="C1138" s="85" t="s">
        <v>39</v>
      </c>
      <c r="D1138" s="227">
        <v>199</v>
      </c>
    </row>
    <row r="1139" spans="1:4" s="155" customFormat="1" ht="17.25" customHeight="1">
      <c r="A1139" s="84">
        <v>1136</v>
      </c>
      <c r="B1139" s="85">
        <v>1977</v>
      </c>
      <c r="C1139" s="85" t="s">
        <v>39</v>
      </c>
      <c r="D1139" s="227">
        <v>-600.30000000000018</v>
      </c>
    </row>
    <row r="1140" spans="1:4" s="155" customFormat="1" ht="17.25" customHeight="1">
      <c r="A1140" s="84">
        <v>1137</v>
      </c>
      <c r="B1140" s="85">
        <v>1979</v>
      </c>
      <c r="C1140" s="85" t="s">
        <v>39</v>
      </c>
      <c r="D1140" s="227">
        <v>-652.69000000000005</v>
      </c>
    </row>
    <row r="1141" spans="1:4" s="155" customFormat="1" ht="17.25" customHeight="1">
      <c r="A1141" s="84">
        <v>1138</v>
      </c>
      <c r="B1141" s="85">
        <v>1999</v>
      </c>
      <c r="C1141" s="85" t="s">
        <v>39</v>
      </c>
      <c r="D1141" s="227">
        <v>416.79999999999995</v>
      </c>
    </row>
    <row r="1142" spans="1:4" s="155" customFormat="1" ht="17.25" customHeight="1">
      <c r="A1142" s="84">
        <v>1139</v>
      </c>
      <c r="B1142" s="85">
        <v>2000</v>
      </c>
      <c r="C1142" s="85" t="s">
        <v>39</v>
      </c>
      <c r="D1142" s="227">
        <v>395.96</v>
      </c>
    </row>
    <row r="1143" spans="1:4" s="155" customFormat="1" ht="17.25" customHeight="1">
      <c r="A1143" s="84">
        <v>1140</v>
      </c>
      <c r="B1143" s="85">
        <v>2065</v>
      </c>
      <c r="C1143" s="85" t="s">
        <v>39</v>
      </c>
      <c r="D1143" s="227">
        <v>185</v>
      </c>
    </row>
    <row r="1144" spans="1:4" s="155" customFormat="1" ht="17.25" customHeight="1">
      <c r="A1144" s="84">
        <v>1141</v>
      </c>
      <c r="B1144" s="85">
        <v>2066</v>
      </c>
      <c r="C1144" s="85" t="s">
        <v>39</v>
      </c>
      <c r="D1144" s="227">
        <v>185</v>
      </c>
    </row>
    <row r="1145" spans="1:4" s="155" customFormat="1" ht="17.25" customHeight="1">
      <c r="A1145" s="84">
        <v>1142</v>
      </c>
      <c r="B1145" s="85">
        <v>2087</v>
      </c>
      <c r="C1145" s="85" t="s">
        <v>39</v>
      </c>
      <c r="D1145" s="227">
        <v>-122.5</v>
      </c>
    </row>
    <row r="1146" spans="1:4" s="155" customFormat="1" ht="17.25" customHeight="1">
      <c r="A1146" s="84">
        <v>1143</v>
      </c>
      <c r="B1146" s="85">
        <v>2088</v>
      </c>
      <c r="C1146" s="85" t="s">
        <v>39</v>
      </c>
      <c r="D1146" s="227">
        <v>911.09999999999991</v>
      </c>
    </row>
    <row r="1147" spans="1:4" s="155" customFormat="1" ht="17.25" customHeight="1">
      <c r="A1147" s="84">
        <v>1144</v>
      </c>
      <c r="B1147" s="85">
        <v>2096</v>
      </c>
      <c r="C1147" s="85" t="s">
        <v>39</v>
      </c>
      <c r="D1147" s="227">
        <v>770</v>
      </c>
    </row>
    <row r="1148" spans="1:4" s="155" customFormat="1" ht="17.25" customHeight="1">
      <c r="A1148" s="84">
        <v>1145</v>
      </c>
      <c r="B1148" s="85">
        <v>2098</v>
      </c>
      <c r="C1148" s="85" t="s">
        <v>39</v>
      </c>
      <c r="D1148" s="227">
        <v>-22</v>
      </c>
    </row>
    <row r="1149" spans="1:4" s="155" customFormat="1" ht="17.25" customHeight="1">
      <c r="A1149" s="84">
        <v>1146</v>
      </c>
      <c r="B1149" s="85">
        <v>2099</v>
      </c>
      <c r="C1149" s="85" t="s">
        <v>39</v>
      </c>
      <c r="D1149" s="227">
        <v>533.86</v>
      </c>
    </row>
    <row r="1150" spans="1:4" s="155" customFormat="1" ht="17.25" customHeight="1">
      <c r="A1150" s="84">
        <v>1147</v>
      </c>
      <c r="B1150" s="85">
        <v>2123</v>
      </c>
      <c r="C1150" s="85" t="s">
        <v>39</v>
      </c>
      <c r="D1150" s="227">
        <v>-122</v>
      </c>
    </row>
    <row r="1151" spans="1:4" s="155" customFormat="1" ht="17.25" customHeight="1">
      <c r="A1151" s="84">
        <v>1148</v>
      </c>
      <c r="B1151" s="85">
        <v>2125</v>
      </c>
      <c r="C1151" s="85" t="s">
        <v>39</v>
      </c>
      <c r="D1151" s="227">
        <v>5.9400000000000546</v>
      </c>
    </row>
    <row r="1152" spans="1:4" s="155" customFormat="1" ht="17.25" customHeight="1">
      <c r="A1152" s="84">
        <v>1149</v>
      </c>
      <c r="B1152" s="85">
        <v>2132</v>
      </c>
      <c r="C1152" s="85" t="s">
        <v>39</v>
      </c>
      <c r="D1152" s="227">
        <v>0</v>
      </c>
    </row>
    <row r="1153" spans="1:4" s="155" customFormat="1" ht="17.25" customHeight="1">
      <c r="A1153" s="84">
        <v>1150</v>
      </c>
      <c r="B1153" s="85">
        <v>2137</v>
      </c>
      <c r="C1153" s="85" t="s">
        <v>39</v>
      </c>
      <c r="D1153" s="227">
        <v>201.64999999999998</v>
      </c>
    </row>
    <row r="1154" spans="1:4" s="155" customFormat="1" ht="17.25" customHeight="1">
      <c r="A1154" s="84">
        <v>1151</v>
      </c>
      <c r="B1154" s="85">
        <v>2143</v>
      </c>
      <c r="C1154" s="85" t="s">
        <v>39</v>
      </c>
      <c r="D1154" s="227">
        <v>1250</v>
      </c>
    </row>
    <row r="1155" spans="1:4" s="155" customFormat="1" ht="17.25" customHeight="1">
      <c r="A1155" s="84">
        <v>1152</v>
      </c>
      <c r="B1155" s="85">
        <v>2177</v>
      </c>
      <c r="C1155" s="85" t="s">
        <v>39</v>
      </c>
      <c r="D1155" s="227">
        <v>173.29999999999995</v>
      </c>
    </row>
    <row r="1156" spans="1:4" s="155" customFormat="1" ht="17.25" customHeight="1">
      <c r="A1156" s="84">
        <v>1153</v>
      </c>
      <c r="B1156" s="85">
        <v>2181</v>
      </c>
      <c r="C1156" s="85" t="s">
        <v>39</v>
      </c>
      <c r="D1156" s="227">
        <v>309.5</v>
      </c>
    </row>
    <row r="1157" spans="1:4" s="155" customFormat="1" ht="17.25" customHeight="1">
      <c r="A1157" s="84">
        <v>1154</v>
      </c>
      <c r="B1157" s="85">
        <v>2198</v>
      </c>
      <c r="C1157" s="85" t="s">
        <v>39</v>
      </c>
      <c r="D1157" s="227">
        <v>208.57</v>
      </c>
    </row>
    <row r="1158" spans="1:4" s="155" customFormat="1" ht="17.25" customHeight="1">
      <c r="A1158" s="84">
        <v>1155</v>
      </c>
      <c r="B1158" s="85">
        <v>2218</v>
      </c>
      <c r="C1158" s="85" t="s">
        <v>39</v>
      </c>
      <c r="D1158" s="227">
        <v>652.5</v>
      </c>
    </row>
    <row r="1159" spans="1:4" s="155" customFormat="1" ht="17.25" customHeight="1">
      <c r="A1159" s="84">
        <v>1156</v>
      </c>
      <c r="B1159" s="85">
        <v>2269</v>
      </c>
      <c r="C1159" s="85" t="s">
        <v>39</v>
      </c>
      <c r="D1159" s="227">
        <v>391.6</v>
      </c>
    </row>
    <row r="1160" spans="1:4" s="155" customFormat="1" ht="17.25" customHeight="1" thickBot="1">
      <c r="A1160" s="231">
        <v>1157</v>
      </c>
      <c r="B1160" s="232">
        <v>2280</v>
      </c>
      <c r="C1160" s="232" t="s">
        <v>39</v>
      </c>
      <c r="D1160" s="233">
        <v>20.399999999999999</v>
      </c>
    </row>
    <row r="1161" spans="1:4" s="155" customFormat="1" ht="17.25" customHeight="1">
      <c r="A1161" s="98"/>
      <c r="B1161" s="98"/>
      <c r="C1161" s="98"/>
      <c r="D1161" s="239"/>
    </row>
    <row r="1162" spans="1:4" s="155" customFormat="1" ht="17.25" customHeight="1">
      <c r="A1162" s="98"/>
      <c r="B1162" s="98"/>
      <c r="C1162" s="98"/>
      <c r="D1162" s="239"/>
    </row>
    <row r="1163" spans="1:4" s="155" customFormat="1" ht="17.25" customHeight="1">
      <c r="A1163" s="98"/>
      <c r="B1163" s="98"/>
      <c r="C1163" s="98"/>
      <c r="D1163" s="239"/>
    </row>
    <row r="1164" spans="1:4" s="155" customFormat="1" ht="17.25" customHeight="1">
      <c r="A1164" s="98"/>
      <c r="B1164" s="98"/>
      <c r="C1164" s="98"/>
      <c r="D1164" s="239"/>
    </row>
    <row r="1165" spans="1:4" s="155" customFormat="1" ht="17.25" customHeight="1">
      <c r="A1165" s="98"/>
      <c r="B1165" s="98"/>
      <c r="C1165" s="98"/>
      <c r="D1165" s="239"/>
    </row>
    <row r="1166" spans="1:4" ht="45.75" customHeight="1" thickBot="1">
      <c r="A1166" s="342" t="s">
        <v>171</v>
      </c>
      <c r="B1166" s="342"/>
      <c r="C1166" s="342"/>
      <c r="D1166" s="342"/>
    </row>
    <row r="1167" spans="1:4" ht="13.5" customHeight="1" thickBot="1">
      <c r="A1167" s="317" t="s">
        <v>7</v>
      </c>
      <c r="B1167" s="317"/>
      <c r="C1167" s="317"/>
      <c r="D1167" s="317"/>
    </row>
    <row r="1168" spans="1:4" ht="28.5" customHeight="1" thickBot="1">
      <c r="A1168" s="115" t="s">
        <v>47</v>
      </c>
      <c r="B1168" s="115" t="s">
        <v>29</v>
      </c>
      <c r="C1168" s="343" t="s">
        <v>46</v>
      </c>
      <c r="D1168" s="344"/>
    </row>
    <row r="1169" spans="1:4" ht="15">
      <c r="A1169" s="106">
        <v>1</v>
      </c>
      <c r="B1169" s="107">
        <v>6</v>
      </c>
      <c r="C1169" s="345" t="str">
        <f>IF(VLOOKUP(A1169,'своб. Р по РП'!$A$4:$C$54,3,FALSE)&lt;0,"источник закрыт",VLOOKUP(A1169,'своб. Р по РП'!$A$4:$C$54,3,FALSE))</f>
        <v>источник закрыт</v>
      </c>
      <c r="D1169" s="346"/>
    </row>
    <row r="1170" spans="1:4" ht="15">
      <c r="A1170" s="71">
        <v>2</v>
      </c>
      <c r="B1170" s="110">
        <v>6</v>
      </c>
      <c r="C1170" s="333" t="str">
        <f>IF(VLOOKUP(A1170,'своб. Р по РП'!$A$4:$C$54,3,FALSE)&lt;0,"источник закрыт",VLOOKUP(A1170,'своб. Р по РП'!$A$4:$C$54,3,FALSE))</f>
        <v>источник закрыт</v>
      </c>
      <c r="D1170" s="334"/>
    </row>
    <row r="1171" spans="1:4" ht="15">
      <c r="A1171" s="71">
        <v>3</v>
      </c>
      <c r="B1171" s="110">
        <v>6</v>
      </c>
      <c r="C1171" s="333" t="str">
        <f>IF(VLOOKUP(A1171,'своб. Р по РП'!$A$4:$C$54,3,FALSE)&lt;0,"источник закрыт",VLOOKUP(A1171,'своб. Р по РП'!$A$4:$C$54,3,FALSE))</f>
        <v>источник закрыт</v>
      </c>
      <c r="D1171" s="334"/>
    </row>
    <row r="1172" spans="1:4" ht="15">
      <c r="A1172" s="71">
        <v>4</v>
      </c>
      <c r="B1172" s="110">
        <v>6</v>
      </c>
      <c r="C1172" s="333" t="str">
        <f>IF(VLOOKUP(A1172,'своб. Р по РП'!$A$4:$C$54,3,FALSE)&lt;0,"источник закрыт",VLOOKUP(A1172,'своб. Р по РП'!$A$4:$C$54,3,FALSE))</f>
        <v>источник закрыт</v>
      </c>
      <c r="D1172" s="334"/>
    </row>
    <row r="1173" spans="1:4" ht="15">
      <c r="A1173" s="71" t="s">
        <v>48</v>
      </c>
      <c r="B1173" s="110">
        <v>10</v>
      </c>
      <c r="C1173" s="333" t="str">
        <f>IF(VLOOKUP(A1173,'своб. Р по РП'!$A$4:$C$54,3,FALSE)&lt;0,"источник закрыт",VLOOKUP(A1173,'своб. Р по РП'!$A$4:$C$54,3,FALSE))</f>
        <v>источник закрыт</v>
      </c>
      <c r="D1173" s="334"/>
    </row>
    <row r="1174" spans="1:4" ht="15">
      <c r="A1174" s="71">
        <v>5</v>
      </c>
      <c r="B1174" s="110">
        <v>6</v>
      </c>
      <c r="C1174" s="333" t="str">
        <f>IF(VLOOKUP(A1174,'своб. Р по РП'!$A$4:$C$54,3,FALSE)&lt;0,"источник закрыт",VLOOKUP(A1174,'своб. Р по РП'!$A$4:$C$54,3,FALSE))</f>
        <v>источник закрыт</v>
      </c>
      <c r="D1174" s="334"/>
    </row>
    <row r="1175" spans="1:4" ht="15">
      <c r="A1175" s="71">
        <v>6</v>
      </c>
      <c r="B1175" s="110">
        <v>6</v>
      </c>
      <c r="C1175" s="333" t="str">
        <f>IF(VLOOKUP(A1175,'своб. Р по РП'!$A$4:$C$54,3,FALSE)&lt;0,"источник закрыт",VLOOKUP(A1175,'своб. Р по РП'!$A$4:$C$54,3,FALSE))</f>
        <v>источник закрыт</v>
      </c>
      <c r="D1175" s="334"/>
    </row>
    <row r="1176" spans="1:4" ht="15">
      <c r="A1176" s="71">
        <v>7</v>
      </c>
      <c r="B1176" s="110">
        <v>6</v>
      </c>
      <c r="C1176" s="333" t="str">
        <f>IF(VLOOKUP(A1176,'своб. Р по РП'!$A$4:$C$54,3,FALSE)&lt;0,"источник закрыт",VLOOKUP(A1176,'своб. Р по РП'!$A$4:$C$54,3,FALSE))</f>
        <v>источник закрыт</v>
      </c>
      <c r="D1176" s="334"/>
    </row>
    <row r="1177" spans="1:4" ht="15">
      <c r="A1177" s="71">
        <v>9</v>
      </c>
      <c r="B1177" s="110">
        <v>10</v>
      </c>
      <c r="C1177" s="333" t="str">
        <f>IF(VLOOKUP(A1177,'своб. Р по РП'!$A$4:$C$54,3,FALSE)&lt;0,"источник закрыт",VLOOKUP(A1177,'своб. Р по РП'!$A$4:$C$54,3,FALSE))</f>
        <v>источник закрыт</v>
      </c>
      <c r="D1177" s="334"/>
    </row>
    <row r="1178" spans="1:4" ht="15">
      <c r="A1178" s="71">
        <v>10</v>
      </c>
      <c r="B1178" s="110">
        <v>10</v>
      </c>
      <c r="C1178" s="333" t="str">
        <f>IF(VLOOKUP(A1178,'своб. Р по РП'!$A$4:$C$54,3,FALSE)&lt;0,"источник закрыт",VLOOKUP(A1178,'своб. Р по РП'!$A$4:$C$54,3,FALSE))</f>
        <v>источник закрыт</v>
      </c>
      <c r="D1178" s="334"/>
    </row>
    <row r="1179" spans="1:4" ht="15">
      <c r="A1179" s="71">
        <v>11</v>
      </c>
      <c r="B1179" s="110">
        <v>10</v>
      </c>
      <c r="C1179" s="333" t="str">
        <f>IF(VLOOKUP(A1179,'своб. Р по РП'!$A$4:$C$54,3,FALSE)&lt;0,"источник закрыт",VLOOKUP(A1179,'своб. Р по РП'!$A$4:$C$54,3,FALSE))</f>
        <v>источник закрыт</v>
      </c>
      <c r="D1179" s="334"/>
    </row>
    <row r="1180" spans="1:4" ht="15">
      <c r="A1180" s="71">
        <v>12</v>
      </c>
      <c r="B1180" s="110">
        <v>10</v>
      </c>
      <c r="C1180" s="333" t="str">
        <f>IF(VLOOKUP(A1180,'своб. Р по РП'!$A$4:$C$54,3,FALSE)&lt;0,"источник закрыт",VLOOKUP(A1180,'своб. Р по РП'!$A$4:$C$54,3,FALSE))</f>
        <v>источник закрыт</v>
      </c>
      <c r="D1180" s="334"/>
    </row>
    <row r="1181" spans="1:4" ht="15">
      <c r="A1181" s="71">
        <v>13</v>
      </c>
      <c r="B1181" s="110">
        <v>10</v>
      </c>
      <c r="C1181" s="333" t="str">
        <f>IF(VLOOKUP(A1181,'своб. Р по РП'!$A$4:$C$54,3,FALSE)&lt;0,"источник закрыт",VLOOKUP(A1181,'своб. Р по РП'!$A$4:$C$54,3,FALSE))</f>
        <v>источник закрыт</v>
      </c>
      <c r="D1181" s="334"/>
    </row>
    <row r="1182" spans="1:4" ht="15">
      <c r="A1182" s="71">
        <v>14</v>
      </c>
      <c r="B1182" s="110">
        <v>10</v>
      </c>
      <c r="C1182" s="333" t="str">
        <f>IF(VLOOKUP(A1182,'своб. Р по РП'!$A$4:$C$54,3,FALSE)&lt;0,"источник закрыт",VLOOKUP(A1182,'своб. Р по РП'!$A$4:$C$54,3,FALSE))</f>
        <v>источник закрыт</v>
      </c>
      <c r="D1182" s="334"/>
    </row>
    <row r="1183" spans="1:4" ht="15">
      <c r="A1183" s="71">
        <v>15</v>
      </c>
      <c r="B1183" s="110">
        <v>6</v>
      </c>
      <c r="C1183" s="333" t="str">
        <f>IF(VLOOKUP(A1183,'своб. Р по РП'!$A$4:$C$54,3,FALSE)&lt;0,"источник закрыт",VLOOKUP(A1183,'своб. Р по РП'!$A$4:$C$54,3,FALSE))</f>
        <v>источник закрыт</v>
      </c>
      <c r="D1183" s="334"/>
    </row>
    <row r="1184" spans="1:4" ht="15">
      <c r="A1184" s="71">
        <v>16</v>
      </c>
      <c r="B1184" s="110">
        <v>6</v>
      </c>
      <c r="C1184" s="333" t="str">
        <f>IF(VLOOKUP(A1184,'своб. Р по РП'!$A$4:$C$54,3,FALSE)&lt;0,"источник закрыт",VLOOKUP(A1184,'своб. Р по РП'!$A$4:$C$54,3,FALSE))</f>
        <v>источник закрыт</v>
      </c>
      <c r="D1184" s="334"/>
    </row>
    <row r="1185" spans="1:4" ht="15">
      <c r="A1185" s="71">
        <v>17</v>
      </c>
      <c r="B1185" s="110">
        <v>10</v>
      </c>
      <c r="C1185" s="333" t="str">
        <f>IF(VLOOKUP(A1185,'своб. Р по РП'!$A$4:$C$54,3,FALSE)&lt;0,"источник закрыт",VLOOKUP(A1185,'своб. Р по РП'!$A$4:$C$54,3,FALSE))</f>
        <v>источник закрыт</v>
      </c>
      <c r="D1185" s="334"/>
    </row>
    <row r="1186" spans="1:4" ht="15">
      <c r="A1186" s="71">
        <v>18</v>
      </c>
      <c r="B1186" s="110">
        <v>10</v>
      </c>
      <c r="C1186" s="333" t="str">
        <f>IF(VLOOKUP(A1186,'своб. Р по РП'!$A$4:$C$54,3,FALSE)&lt;0,"источник закрыт",VLOOKUP(A1186,'своб. Р по РП'!$A$4:$C$54,3,FALSE))</f>
        <v>источник закрыт</v>
      </c>
      <c r="D1186" s="334"/>
    </row>
    <row r="1187" spans="1:4" ht="15">
      <c r="A1187" s="71">
        <v>19</v>
      </c>
      <c r="B1187" s="110">
        <v>6</v>
      </c>
      <c r="C1187" s="333">
        <f>IF(VLOOKUP(A1187,'своб. Р по РП'!$A$4:$C$54,3,FALSE)&lt;0,"источник закрыт",VLOOKUP(A1187,'своб. Р по РП'!$A$4:$C$54,3,FALSE))</f>
        <v>8273</v>
      </c>
      <c r="D1187" s="334"/>
    </row>
    <row r="1188" spans="1:4" ht="15">
      <c r="A1188" s="71">
        <v>20</v>
      </c>
      <c r="B1188" s="110">
        <v>10</v>
      </c>
      <c r="C1188" s="333" t="str">
        <f>IF(VLOOKUP(A1188,'своб. Р по РП'!$A$4:$C$54,3,FALSE)&lt;0,"источник закрыт",VLOOKUP(A1188,'своб. Р по РП'!$A$4:$C$54,3,FALSE))</f>
        <v>источник закрыт</v>
      </c>
      <c r="D1188" s="334"/>
    </row>
    <row r="1189" spans="1:4" ht="15">
      <c r="A1189" s="71">
        <v>21</v>
      </c>
      <c r="B1189" s="110">
        <v>10</v>
      </c>
      <c r="C1189" s="333" t="str">
        <f>IF(VLOOKUP(A1189,'своб. Р по РП'!$A$4:$C$54,3,FALSE)&lt;0,"источник закрыт",VLOOKUP(A1189,'своб. Р по РП'!$A$4:$C$54,3,FALSE))</f>
        <v>источник закрыт</v>
      </c>
      <c r="D1189" s="334"/>
    </row>
    <row r="1190" spans="1:4" ht="15">
      <c r="A1190" s="71">
        <v>22</v>
      </c>
      <c r="B1190" s="110">
        <v>10</v>
      </c>
      <c r="C1190" s="333" t="str">
        <f>IF(VLOOKUP(A1190,'своб. Р по РП'!$A$4:$C$54,3,FALSE)&lt;0,"источник закрыт",VLOOKUP(A1190,'своб. Р по РП'!$A$4:$C$54,3,FALSE))</f>
        <v>источник закрыт</v>
      </c>
      <c r="D1190" s="334"/>
    </row>
    <row r="1191" spans="1:4" ht="15">
      <c r="A1191" s="71">
        <v>23</v>
      </c>
      <c r="B1191" s="110">
        <v>10</v>
      </c>
      <c r="C1191" s="333" t="str">
        <f>IF(VLOOKUP(A1191,'своб. Р по РП'!$A$4:$C$54,3,FALSE)&lt;0,"источник закрыт",VLOOKUP(A1191,'своб. Р по РП'!$A$4:$C$54,3,FALSE))</f>
        <v>источник закрыт</v>
      </c>
      <c r="D1191" s="334"/>
    </row>
    <row r="1192" spans="1:4" ht="15">
      <c r="A1192" s="71">
        <v>24</v>
      </c>
      <c r="B1192" s="110">
        <v>10</v>
      </c>
      <c r="C1192" s="333" t="str">
        <f>IF(VLOOKUP(A1192,'своб. Р по РП'!$A$4:$C$54,3,FALSE)&lt;0,"источник закрыт",VLOOKUP(A1192,'своб. Р по РП'!$A$4:$C$54,3,FALSE))</f>
        <v>источник закрыт</v>
      </c>
      <c r="D1192" s="334"/>
    </row>
    <row r="1193" spans="1:4" ht="15">
      <c r="A1193" s="71">
        <v>25</v>
      </c>
      <c r="B1193" s="110">
        <v>10</v>
      </c>
      <c r="C1193" s="333" t="str">
        <f>IF(VLOOKUP(A1193,'своб. Р по РП'!$A$4:$C$54,3,FALSE)&lt;0,"источник закрыт",VLOOKUP(A1193,'своб. Р по РП'!$A$4:$C$54,3,FALSE))</f>
        <v>источник закрыт</v>
      </c>
      <c r="D1193" s="334"/>
    </row>
    <row r="1194" spans="1:4" ht="15">
      <c r="A1194" s="71">
        <v>26</v>
      </c>
      <c r="B1194" s="110">
        <v>6</v>
      </c>
      <c r="C1194" s="333" t="str">
        <f>IF(VLOOKUP(A1194,'своб. Р по РП'!$A$4:$C$54,3,FALSE)&lt;0,"источник закрыт",VLOOKUP(A1194,'своб. Р по РП'!$A$4:$C$54,3,FALSE))</f>
        <v>источник закрыт</v>
      </c>
      <c r="D1194" s="334"/>
    </row>
    <row r="1195" spans="1:4" ht="15">
      <c r="A1195" s="71">
        <v>28</v>
      </c>
      <c r="B1195" s="110">
        <v>6</v>
      </c>
      <c r="C1195" s="333">
        <f>IF(VLOOKUP(A1195,'своб. Р по РП'!$A$4:$C$54,3,FALSE)&lt;0,"источник закрыт",VLOOKUP(A1195,'своб. Р по РП'!$A$4:$C$54,3,FALSE))</f>
        <v>247.5</v>
      </c>
      <c r="D1195" s="334"/>
    </row>
    <row r="1196" spans="1:4" ht="15">
      <c r="A1196" s="71">
        <v>31</v>
      </c>
      <c r="B1196" s="110">
        <v>10</v>
      </c>
      <c r="C1196" s="333" t="str">
        <f>IF(VLOOKUP(A1196,'своб. Р по РП'!$A$4:$C$54,3,FALSE)&lt;0,"источник закрыт",VLOOKUP(A1196,'своб. Р по РП'!$A$4:$C$54,3,FALSE))</f>
        <v>источник закрыт</v>
      </c>
      <c r="D1196" s="334"/>
    </row>
    <row r="1197" spans="1:4" ht="15">
      <c r="A1197" s="71">
        <v>32</v>
      </c>
      <c r="B1197" s="110">
        <v>10</v>
      </c>
      <c r="C1197" s="333" t="str">
        <f>IF(VLOOKUP(A1197,'своб. Р по РП'!$A$4:$C$54,3,FALSE)&lt;0,"источник закрыт",VLOOKUP(A1197,'своб. Р по РП'!$A$4:$C$54,3,FALSE))</f>
        <v>источник закрыт</v>
      </c>
      <c r="D1197" s="334"/>
    </row>
    <row r="1198" spans="1:4" ht="15">
      <c r="A1198" s="71">
        <v>33</v>
      </c>
      <c r="B1198" s="110">
        <v>6</v>
      </c>
      <c r="C1198" s="333" t="str">
        <f>IF(VLOOKUP(A1198,'своб. Р по РП'!$A$4:$C$54,3,FALSE)&lt;0,"источник закрыт",VLOOKUP(A1198,'своб. Р по РП'!$A$4:$C$54,3,FALSE))</f>
        <v>источник закрыт</v>
      </c>
      <c r="D1198" s="334"/>
    </row>
    <row r="1199" spans="1:4" ht="15">
      <c r="A1199" s="71">
        <v>34</v>
      </c>
      <c r="B1199" s="110">
        <v>10</v>
      </c>
      <c r="C1199" s="333">
        <f>IF(VLOOKUP(A1199,'своб. Р по РП'!$A$4:$C$54,3,FALSE)&lt;0,"источник закрыт",VLOOKUP(A1199,'своб. Р по РП'!$A$4:$C$54,3,FALSE))</f>
        <v>2442.27</v>
      </c>
      <c r="D1199" s="334"/>
    </row>
    <row r="1200" spans="1:4" ht="15">
      <c r="A1200" s="108">
        <v>35</v>
      </c>
      <c r="B1200" s="68">
        <v>10</v>
      </c>
      <c r="C1200" s="333" t="str">
        <f>IF(VLOOKUP(A1200,'своб. Р по РП'!$A$4:$C$54,3,FALSE)&lt;0,"источник закрыт",VLOOKUP(A1200,'своб. Р по РП'!$A$4:$C$54,3,FALSE))</f>
        <v>источник закрыт</v>
      </c>
      <c r="D1200" s="334"/>
    </row>
    <row r="1201" spans="1:4" ht="15">
      <c r="A1201" s="71">
        <v>36</v>
      </c>
      <c r="B1201" s="110">
        <v>10</v>
      </c>
      <c r="C1201" s="333" t="str">
        <f>IF(VLOOKUP(A1201,'своб. Р по РП'!$A$4:$C$54,3,FALSE)&lt;0,"источник закрыт",VLOOKUP(A1201,'своб. Р по РП'!$A$4:$C$54,3,FALSE))</f>
        <v>источник закрыт</v>
      </c>
      <c r="D1201" s="334"/>
    </row>
    <row r="1202" spans="1:4" ht="15">
      <c r="A1202" s="71">
        <v>37</v>
      </c>
      <c r="B1202" s="110">
        <v>6</v>
      </c>
      <c r="C1202" s="333">
        <f>IF(VLOOKUP(A1202,'своб. Р по РП'!$A$4:$C$54,3,FALSE)&lt;0,"источник закрыт",VLOOKUP(A1202,'своб. Р по РП'!$A$4:$C$54,3,FALSE))</f>
        <v>2154</v>
      </c>
      <c r="D1202" s="334"/>
    </row>
    <row r="1203" spans="1:4" ht="15">
      <c r="A1203" s="71">
        <v>38</v>
      </c>
      <c r="B1203" s="110">
        <v>6</v>
      </c>
      <c r="C1203" s="333" t="str">
        <f>IF(VLOOKUP(A1203,'своб. Р по РП'!$A$4:$C$54,3,FALSE)&lt;0,"источник закрыт",VLOOKUP(A1203,'своб. Р по РП'!$A$4:$C$54,3,FALSE))</f>
        <v>источник закрыт</v>
      </c>
      <c r="D1203" s="334"/>
    </row>
    <row r="1204" spans="1:4" ht="15">
      <c r="A1204" s="71">
        <v>39</v>
      </c>
      <c r="B1204" s="110">
        <v>10</v>
      </c>
      <c r="C1204" s="333" t="str">
        <f>IF(VLOOKUP(A1204,'своб. Р по РП'!$A$4:$C$54,3,FALSE)&lt;0,"источник закрыт",VLOOKUP(A1204,'своб. Р по РП'!$A$4:$C$54,3,FALSE))</f>
        <v>источник закрыт</v>
      </c>
      <c r="D1204" s="334"/>
    </row>
    <row r="1205" spans="1:4" ht="15">
      <c r="A1205" s="71">
        <v>40</v>
      </c>
      <c r="B1205" s="110">
        <v>10</v>
      </c>
      <c r="C1205" s="333" t="str">
        <f>IF(VLOOKUP(A1205,'своб. Р по РП'!$A$4:$C$54,3,FALSE)&lt;0,"источник закрыт",VLOOKUP(A1205,'своб. Р по РП'!$A$4:$C$54,3,FALSE))</f>
        <v>источник закрыт</v>
      </c>
      <c r="D1205" s="334"/>
    </row>
    <row r="1206" spans="1:4" ht="15">
      <c r="A1206" s="71">
        <v>41</v>
      </c>
      <c r="B1206" s="110">
        <v>10</v>
      </c>
      <c r="C1206" s="333" t="str">
        <f>IF(VLOOKUP(A1206,'своб. Р по РП'!$A$4:$C$54,3,FALSE)&lt;0,"источник закрыт",VLOOKUP(A1206,'своб. Р по РП'!$A$4:$C$54,3,FALSE))</f>
        <v>источник закрыт</v>
      </c>
      <c r="D1206" s="334"/>
    </row>
    <row r="1207" spans="1:4" ht="15">
      <c r="A1207" s="71">
        <v>42</v>
      </c>
      <c r="B1207" s="110">
        <v>6</v>
      </c>
      <c r="C1207" s="333">
        <f>IF(VLOOKUP(A1207,'своб. Р по РП'!$A$4:$C$54,3,FALSE)&lt;0,"источник закрыт",VLOOKUP(A1207,'своб. Р по РП'!$A$4:$C$54,3,FALSE))</f>
        <v>613</v>
      </c>
      <c r="D1207" s="334"/>
    </row>
    <row r="1208" spans="1:4" ht="15">
      <c r="A1208" s="71">
        <v>44</v>
      </c>
      <c r="B1208" s="134">
        <v>6</v>
      </c>
      <c r="C1208" s="333" t="str">
        <f>IF(VLOOKUP(A1208,'своб. Р по РП'!$A$4:$C$54,3,FALSE)&lt;0,"источник закрыт",VLOOKUP(A1208,'своб. Р по РП'!$A$4:$C$54,3,FALSE))</f>
        <v>источник закрыт</v>
      </c>
      <c r="D1208" s="334"/>
    </row>
    <row r="1209" spans="1:4" ht="15">
      <c r="A1209" s="71">
        <v>45</v>
      </c>
      <c r="B1209" s="124">
        <v>10</v>
      </c>
      <c r="C1209" s="333">
        <f>IF(VLOOKUP(A1209,'своб. Р по РП'!$A$4:$C$54,3,FALSE)&lt;0,"источник закрыт",VLOOKUP(A1209,'своб. Р по РП'!$A$4:$C$54,3,FALSE))</f>
        <v>142.54000000000042</v>
      </c>
      <c r="D1209" s="334"/>
    </row>
    <row r="1210" spans="1:4" ht="15">
      <c r="A1210" s="71">
        <v>47</v>
      </c>
      <c r="B1210" s="124">
        <v>6</v>
      </c>
      <c r="C1210" s="333" t="str">
        <f>IF(VLOOKUP(A1210,'своб. Р по РП'!$A$4:$C$54,3,FALSE)&lt;0,"источник закрыт",VLOOKUP(A1210,'своб. Р по РП'!$A$4:$C$54,3,FALSE))</f>
        <v>источник закрыт</v>
      </c>
      <c r="D1210" s="334"/>
    </row>
    <row r="1211" spans="1:4" ht="15">
      <c r="A1211" s="71">
        <v>48</v>
      </c>
      <c r="B1211" s="124">
        <v>6</v>
      </c>
      <c r="C1211" s="333">
        <f>IF(VLOOKUP(A1211,'своб. Р по РП'!$A$4:$C$54,3,FALSE)&lt;0,"источник закрыт",VLOOKUP(A1211,'своб. Р по РП'!$A$4:$C$54,3,FALSE))</f>
        <v>2227.829999999999</v>
      </c>
      <c r="D1211" s="334"/>
    </row>
    <row r="1212" spans="1:4" ht="15">
      <c r="A1212" s="71">
        <v>53</v>
      </c>
      <c r="B1212" s="145">
        <v>6</v>
      </c>
      <c r="C1212" s="333">
        <f>IF(VLOOKUP(A1212,'своб. Р по РП'!$A$4:$C$54,3,FALSE)&lt;0,"источник закрыт",VLOOKUP(A1212,'своб. Р по РП'!$A$4:$C$54,3,FALSE))</f>
        <v>1353.63</v>
      </c>
      <c r="D1212" s="334"/>
    </row>
    <row r="1213" spans="1:4" ht="15">
      <c r="A1213" s="71">
        <v>55</v>
      </c>
      <c r="B1213" s="255">
        <v>6</v>
      </c>
      <c r="C1213" s="333">
        <f>IF(VLOOKUP(A1213,'своб. Р по РП'!$A$4:$C$54,3,FALSE)&lt;0,"источник закрыт",VLOOKUP(A1213,'своб. Р по РП'!$A$4:$C$54,3,FALSE))</f>
        <v>2430.66</v>
      </c>
      <c r="D1213" s="334"/>
    </row>
    <row r="1214" spans="1:4" ht="15">
      <c r="A1214" s="71">
        <v>56</v>
      </c>
      <c r="B1214" s="164">
        <v>6</v>
      </c>
      <c r="C1214" s="333" t="str">
        <f>IF(VLOOKUP(A1214,'своб. Р по РП'!$A$4:$C$54,3,FALSE)&lt;0,"источник закрыт",VLOOKUP(A1214,'своб. Р по РП'!$A$4:$C$54,3,FALSE))</f>
        <v>источник закрыт</v>
      </c>
      <c r="D1214" s="334"/>
    </row>
    <row r="1215" spans="1:4" ht="15">
      <c r="A1215" s="71">
        <v>58</v>
      </c>
      <c r="B1215" s="164">
        <v>6</v>
      </c>
      <c r="C1215" s="333">
        <f>IF(VLOOKUP(A1215,'своб. Р по РП'!$A$4:$C$54,3,FALSE)&lt;0,"источник закрыт",VLOOKUP(A1215,'своб. Р по РП'!$A$4:$C$54,3,FALSE))</f>
        <v>2972.38</v>
      </c>
      <c r="D1215" s="334"/>
    </row>
    <row r="1216" spans="1:4" ht="15">
      <c r="A1216" s="71">
        <v>60</v>
      </c>
      <c r="B1216" s="124">
        <v>6</v>
      </c>
      <c r="C1216" s="333">
        <f>IF(VLOOKUP(A1216,'своб. Р по РП'!$A$4:$C$54,3,FALSE)&lt;0,"источник закрыт",VLOOKUP(A1216,'своб. Р по РП'!$A$4:$C$54,3,FALSE))</f>
        <v>966.34600000000023</v>
      </c>
      <c r="D1216" s="334"/>
    </row>
    <row r="1217" spans="1:4" ht="15">
      <c r="A1217" s="71">
        <v>61</v>
      </c>
      <c r="B1217" s="183">
        <v>6</v>
      </c>
      <c r="C1217" s="333">
        <f>IF(VLOOKUP(A1217,'своб. Р по РП'!$A$4:$C$54,3,FALSE)&lt;0,"источник закрыт",VLOOKUP(A1217,'своб. Р по РП'!$A$4:$C$54,3,FALSE))</f>
        <v>6030</v>
      </c>
      <c r="D1217" s="334"/>
    </row>
    <row r="1218" spans="1:4" ht="15">
      <c r="A1218" s="216">
        <v>62</v>
      </c>
      <c r="B1218" s="217">
        <v>6</v>
      </c>
      <c r="C1218" s="333">
        <f>IF(VLOOKUP(A1218,'своб. Р по РП'!$A$4:$C$54,3,FALSE)&lt;0,"источник закрыт",VLOOKUP(A1218,'своб. Р по РП'!$A$4:$C$54,3,FALSE))</f>
        <v>7286.6</v>
      </c>
      <c r="D1218" s="334"/>
    </row>
    <row r="1219" spans="1:4" ht="15.75" thickBot="1">
      <c r="A1219" s="180">
        <v>64</v>
      </c>
      <c r="B1219" s="181">
        <v>6</v>
      </c>
      <c r="C1219" s="348">
        <f>IF(VLOOKUP(A1219,'своб. Р по РП'!$A$4:$C$54,3,FALSE)&lt;0,"источник закрыт",VLOOKUP(A1219,'своб. Р по РП'!$A$4:$C$54,3,FALSE))</f>
        <v>7136.7599999999993</v>
      </c>
      <c r="D1219" s="349"/>
    </row>
    <row r="1220" spans="1:4" ht="18" hidden="1" customHeight="1">
      <c r="A1220" s="186"/>
      <c r="B1220" s="186"/>
      <c r="C1220" s="196"/>
      <c r="D1220" s="196"/>
    </row>
    <row r="1221" spans="1:4" ht="21.75" hidden="1" customHeight="1">
      <c r="A1221" s="347" t="s">
        <v>124</v>
      </c>
      <c r="B1221" s="347"/>
      <c r="C1221" s="347"/>
      <c r="D1221" s="347"/>
    </row>
  </sheetData>
  <mergeCells count="59">
    <mergeCell ref="A1221:D1221"/>
    <mergeCell ref="C1183:D1183"/>
    <mergeCell ref="C1184:D1184"/>
    <mergeCell ref="C1218:D1218"/>
    <mergeCell ref="C1219:D1219"/>
    <mergeCell ref="C1214:D1214"/>
    <mergeCell ref="C1215:D1215"/>
    <mergeCell ref="C1199:D1199"/>
    <mergeCell ref="C1200:D1200"/>
    <mergeCell ref="C1201:D1201"/>
    <mergeCell ref="C1207:D1207"/>
    <mergeCell ref="C1202:D1202"/>
    <mergeCell ref="C1203:D1203"/>
    <mergeCell ref="C1210:D1210"/>
    <mergeCell ref="C1211:D1211"/>
    <mergeCell ref="C1216:D1216"/>
    <mergeCell ref="C1217:D1217"/>
    <mergeCell ref="C1209:D1209"/>
    <mergeCell ref="C1212:D1212"/>
    <mergeCell ref="C1178:D1178"/>
    <mergeCell ref="C1179:D1179"/>
    <mergeCell ref="C1180:D1180"/>
    <mergeCell ref="C1181:D1181"/>
    <mergeCell ref="C1182:D1182"/>
    <mergeCell ref="C1187:D1187"/>
    <mergeCell ref="C1208:D1208"/>
    <mergeCell ref="C1188:D1188"/>
    <mergeCell ref="C1189:D1189"/>
    <mergeCell ref="C1190:D1190"/>
    <mergeCell ref="C1191:D1191"/>
    <mergeCell ref="C1206:D1206"/>
    <mergeCell ref="C1205:D1205"/>
    <mergeCell ref="C1204:D1204"/>
    <mergeCell ref="C1196:D1196"/>
    <mergeCell ref="C1175:D1175"/>
    <mergeCell ref="C1176:D1176"/>
    <mergeCell ref="C1197:D1197"/>
    <mergeCell ref="C1198:D1198"/>
    <mergeCell ref="C1193:D1193"/>
    <mergeCell ref="C1194:D1194"/>
    <mergeCell ref="C1177:D1177"/>
    <mergeCell ref="C1185:D1185"/>
    <mergeCell ref="C1186:D1186"/>
    <mergeCell ref="C1213:D1213"/>
    <mergeCell ref="A1:D1"/>
    <mergeCell ref="A2:A3"/>
    <mergeCell ref="B2:B3"/>
    <mergeCell ref="C2:D2"/>
    <mergeCell ref="C1170:D1170"/>
    <mergeCell ref="A1166:D1166"/>
    <mergeCell ref="A1167:D1167"/>
    <mergeCell ref="C1168:D1168"/>
    <mergeCell ref="C1169:D1169"/>
    <mergeCell ref="C1171:D1171"/>
    <mergeCell ref="C1172:D1172"/>
    <mergeCell ref="C1173:D1173"/>
    <mergeCell ref="C1174:D1174"/>
    <mergeCell ref="C1195:D1195"/>
    <mergeCell ref="C1192:D1192"/>
  </mergeCells>
  <conditionalFormatting sqref="B4:B1110">
    <cfRule type="duplicateValues" dxfId="11" priority="13"/>
  </conditionalFormatting>
  <conditionalFormatting sqref="B1111">
    <cfRule type="duplicateValues" dxfId="10" priority="12"/>
  </conditionalFormatting>
  <conditionalFormatting sqref="B1112:B1113">
    <cfRule type="duplicateValues" dxfId="9" priority="11"/>
  </conditionalFormatting>
  <conditionalFormatting sqref="B1114:B1115">
    <cfRule type="duplicateValues" dxfId="8" priority="10"/>
  </conditionalFormatting>
  <conditionalFormatting sqref="B1116:B1119">
    <cfRule type="duplicateValues" dxfId="7" priority="9"/>
  </conditionalFormatting>
  <conditionalFormatting sqref="B1120:B1123">
    <cfRule type="duplicateValues" dxfId="6" priority="8"/>
  </conditionalFormatting>
  <conditionalFormatting sqref="B1124:B1125">
    <cfRule type="duplicateValues" dxfId="5" priority="7"/>
  </conditionalFormatting>
  <conditionalFormatting sqref="B1126:B1127">
    <cfRule type="duplicateValues" dxfId="4" priority="6"/>
  </conditionalFormatting>
  <conditionalFormatting sqref="B1138:B1139">
    <cfRule type="duplicateValues" dxfId="3" priority="2"/>
  </conditionalFormatting>
  <conditionalFormatting sqref="B1160">
    <cfRule type="duplicateValues" dxfId="2" priority="1"/>
  </conditionalFormatting>
  <conditionalFormatting sqref="B1140:B1159">
    <cfRule type="duplicateValues" dxfId="1" priority="15"/>
  </conditionalFormatting>
  <conditionalFormatting sqref="B1161:B1165 B1128:B1137">
    <cfRule type="duplicateValues" dxfId="0" priority="16"/>
  </conditionalFormatting>
  <pageMargins left="0.59055118110236227" right="0.23622047244094491" top="7.874015748031496E-2" bottom="7.874015748031496E-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55"/>
  <sheetViews>
    <sheetView topLeftCell="A1180" workbookViewId="0">
      <selection activeCell="A1180" sqref="A1:D1048576"/>
    </sheetView>
  </sheetViews>
  <sheetFormatPr defaultRowHeight="12.75"/>
  <cols>
    <col min="1" max="1" width="9.140625" customWidth="1"/>
    <col min="2" max="2" width="15.85546875" customWidth="1"/>
    <col min="3" max="3" width="12.5703125" customWidth="1"/>
    <col min="4" max="4" width="51.28515625" customWidth="1"/>
  </cols>
  <sheetData>
    <row r="1" ht="45.75" customHeight="1"/>
    <row r="1153" ht="45" customHeight="1"/>
    <row r="1155" ht="34.5" customHeight="1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I17" sqref="I17"/>
    </sheetView>
  </sheetViews>
  <sheetFormatPr defaultRowHeight="12.75"/>
  <cols>
    <col min="1" max="1" width="53.42578125" customWidth="1"/>
    <col min="9" max="9" width="10.140625" bestFit="1" customWidth="1"/>
  </cols>
  <sheetData>
    <row r="1" spans="1:5" ht="15">
      <c r="A1" s="69">
        <v>1</v>
      </c>
      <c r="B1" s="70">
        <v>6</v>
      </c>
      <c r="C1" s="350" t="s">
        <v>49</v>
      </c>
      <c r="D1" s="357"/>
      <c r="E1" s="358"/>
    </row>
    <row r="2" spans="1:5" ht="15">
      <c r="A2" s="71">
        <v>2</v>
      </c>
      <c r="B2" s="110">
        <v>6</v>
      </c>
      <c r="C2" s="350" t="s">
        <v>49</v>
      </c>
      <c r="D2" s="357"/>
      <c r="E2" s="358"/>
    </row>
    <row r="3" spans="1:5" ht="15">
      <c r="A3" s="71">
        <v>3</v>
      </c>
      <c r="B3" s="110">
        <v>6</v>
      </c>
      <c r="C3" s="350" t="s">
        <v>49</v>
      </c>
      <c r="D3" s="357"/>
      <c r="E3" s="358"/>
    </row>
    <row r="4" spans="1:5" ht="15">
      <c r="A4" s="71">
        <v>4</v>
      </c>
      <c r="B4" s="110">
        <v>6</v>
      </c>
      <c r="C4" s="350" t="s">
        <v>49</v>
      </c>
      <c r="D4" s="357"/>
      <c r="E4" s="358"/>
    </row>
    <row r="5" spans="1:5" ht="15">
      <c r="A5" s="71" t="s">
        <v>48</v>
      </c>
      <c r="B5" s="110">
        <v>10</v>
      </c>
      <c r="C5" s="350" t="s">
        <v>49</v>
      </c>
      <c r="D5" s="357"/>
      <c r="E5" s="358"/>
    </row>
    <row r="6" spans="1:5" ht="15">
      <c r="A6" s="71">
        <v>5</v>
      </c>
      <c r="B6" s="110">
        <v>6</v>
      </c>
      <c r="C6" s="350" t="s">
        <v>49</v>
      </c>
      <c r="D6" s="357"/>
      <c r="E6" s="358"/>
    </row>
    <row r="7" spans="1:5" ht="15">
      <c r="A7" s="71">
        <v>6</v>
      </c>
      <c r="B7" s="110">
        <v>6</v>
      </c>
      <c r="C7" s="350" t="s">
        <v>49</v>
      </c>
      <c r="D7" s="357"/>
      <c r="E7" s="358"/>
    </row>
    <row r="8" spans="1:5" ht="15">
      <c r="A8" s="71">
        <v>7</v>
      </c>
      <c r="B8" s="110">
        <v>6</v>
      </c>
      <c r="C8" s="350" t="s">
        <v>49</v>
      </c>
      <c r="D8" s="357"/>
      <c r="E8" s="358"/>
    </row>
    <row r="9" spans="1:5" ht="15">
      <c r="A9" s="103">
        <v>9</v>
      </c>
      <c r="B9" s="110">
        <v>10</v>
      </c>
      <c r="C9" s="350">
        <f>1752-160-376-66.8-140-120-70-17-35</f>
        <v>767.2</v>
      </c>
      <c r="D9" s="357"/>
      <c r="E9" s="358"/>
    </row>
    <row r="10" spans="1:5" ht="15">
      <c r="A10" s="71">
        <v>10</v>
      </c>
      <c r="B10" s="110">
        <v>10</v>
      </c>
      <c r="C10" s="350" t="s">
        <v>49</v>
      </c>
      <c r="D10" s="357"/>
      <c r="E10" s="358"/>
    </row>
    <row r="11" spans="1:5" ht="15">
      <c r="A11" s="71">
        <v>11</v>
      </c>
      <c r="B11" s="110">
        <v>10</v>
      </c>
      <c r="C11" s="350" t="s">
        <v>49</v>
      </c>
      <c r="D11" s="357"/>
      <c r="E11" s="358"/>
    </row>
    <row r="12" spans="1:5" ht="15">
      <c r="A12" s="71">
        <v>12</v>
      </c>
      <c r="B12" s="110">
        <v>10</v>
      </c>
      <c r="C12" s="350" t="s">
        <v>49</v>
      </c>
      <c r="D12" s="357"/>
      <c r="E12" s="358"/>
    </row>
    <row r="13" spans="1:5" ht="15">
      <c r="A13" s="103">
        <v>13</v>
      </c>
      <c r="B13" s="110">
        <v>10</v>
      </c>
      <c r="C13" s="350">
        <f>3449-20-170-120-70-200-30-80-370-100-240-20-300</f>
        <v>1729</v>
      </c>
      <c r="D13" s="357"/>
      <c r="E13" s="358"/>
    </row>
    <row r="14" spans="1:5" ht="15">
      <c r="A14" s="71">
        <v>14</v>
      </c>
      <c r="B14" s="110">
        <v>10</v>
      </c>
      <c r="C14" s="350" t="s">
        <v>49</v>
      </c>
      <c r="D14" s="357"/>
      <c r="E14" s="358"/>
    </row>
    <row r="15" spans="1:5" ht="15">
      <c r="A15" s="71">
        <v>15</v>
      </c>
      <c r="B15" s="110">
        <v>6</v>
      </c>
      <c r="C15" s="350" t="s">
        <v>49</v>
      </c>
      <c r="D15" s="357"/>
      <c r="E15" s="358"/>
    </row>
    <row r="16" spans="1:5" ht="15">
      <c r="A16" s="71">
        <v>16</v>
      </c>
      <c r="B16" s="110">
        <v>6</v>
      </c>
      <c r="C16" s="350" t="s">
        <v>49</v>
      </c>
      <c r="D16" s="357"/>
      <c r="E16" s="358"/>
    </row>
    <row r="17" spans="1:5" ht="15">
      <c r="A17" s="71">
        <v>17</v>
      </c>
      <c r="B17" s="110">
        <v>10</v>
      </c>
      <c r="C17" s="350" t="s">
        <v>49</v>
      </c>
      <c r="D17" s="357"/>
      <c r="E17" s="358"/>
    </row>
    <row r="18" spans="1:5" ht="15">
      <c r="A18" s="71">
        <v>18</v>
      </c>
      <c r="B18" s="110">
        <v>10</v>
      </c>
      <c r="C18" s="350" t="s">
        <v>49</v>
      </c>
      <c r="D18" s="357"/>
      <c r="E18" s="358"/>
    </row>
    <row r="19" spans="1:5" ht="15">
      <c r="A19" s="103">
        <v>19</v>
      </c>
      <c r="B19" s="110">
        <v>6</v>
      </c>
      <c r="C19" s="350">
        <f>10342-150</f>
        <v>10192</v>
      </c>
      <c r="D19" s="357"/>
      <c r="E19" s="358"/>
    </row>
    <row r="20" spans="1:5" ht="15">
      <c r="A20" s="71">
        <v>20</v>
      </c>
      <c r="B20" s="110">
        <v>10</v>
      </c>
      <c r="C20" s="350" t="s">
        <v>49</v>
      </c>
      <c r="D20" s="357"/>
      <c r="E20" s="358"/>
    </row>
    <row r="21" spans="1:5" ht="15">
      <c r="A21" s="103">
        <v>21</v>
      </c>
      <c r="B21" s="110">
        <v>10</v>
      </c>
      <c r="C21" s="350">
        <f>1834-25-143.6-25-143.6-25-150-300-150-95-60-150-150</f>
        <v>416.80000000000018</v>
      </c>
      <c r="D21" s="357"/>
      <c r="E21" s="358"/>
    </row>
    <row r="22" spans="1:5" ht="15">
      <c r="A22" s="71">
        <v>22</v>
      </c>
      <c r="B22" s="110">
        <v>10</v>
      </c>
      <c r="C22" s="350" t="s">
        <v>49</v>
      </c>
      <c r="D22" s="357"/>
      <c r="E22" s="358"/>
    </row>
    <row r="23" spans="1:5" ht="15">
      <c r="A23" s="103">
        <v>23</v>
      </c>
      <c r="B23" s="110">
        <v>10</v>
      </c>
      <c r="C23" s="350">
        <f>500-185-7-213.54-200-40-120</f>
        <v>-265.53999999999996</v>
      </c>
      <c r="D23" s="357"/>
      <c r="E23" s="358"/>
    </row>
    <row r="24" spans="1:5" ht="15">
      <c r="A24" s="103">
        <v>24</v>
      </c>
      <c r="B24" s="110">
        <v>10</v>
      </c>
      <c r="C24" s="350">
        <f>1668-185-400-30-220-499.4</f>
        <v>333.6</v>
      </c>
      <c r="D24" s="357"/>
      <c r="E24" s="358"/>
    </row>
    <row r="25" spans="1:5" ht="15">
      <c r="A25" s="71">
        <v>25</v>
      </c>
      <c r="B25" s="110">
        <v>10</v>
      </c>
      <c r="C25" s="350" t="s">
        <v>49</v>
      </c>
      <c r="D25" s="357"/>
      <c r="E25" s="358"/>
    </row>
    <row r="26" spans="1:5" ht="15">
      <c r="A26" s="71">
        <v>26</v>
      </c>
      <c r="B26" s="110">
        <v>6</v>
      </c>
      <c r="C26" s="350" t="s">
        <v>49</v>
      </c>
      <c r="D26" s="357"/>
      <c r="E26" s="358"/>
    </row>
    <row r="27" spans="1:5" ht="15">
      <c r="A27" s="103">
        <v>28</v>
      </c>
      <c r="B27" s="110">
        <v>6</v>
      </c>
      <c r="C27" s="350">
        <f>2470-55-1198-460-230-100</f>
        <v>427</v>
      </c>
      <c r="D27" s="357"/>
      <c r="E27" s="358"/>
    </row>
    <row r="28" spans="1:5" ht="15">
      <c r="A28" s="103">
        <v>30</v>
      </c>
      <c r="B28" s="110">
        <v>10</v>
      </c>
      <c r="C28" s="350">
        <v>1600</v>
      </c>
      <c r="D28" s="357"/>
      <c r="E28" s="358"/>
    </row>
    <row r="29" spans="1:5" ht="15">
      <c r="A29" s="71">
        <v>31</v>
      </c>
      <c r="B29" s="110">
        <v>10</v>
      </c>
      <c r="C29" s="350" t="s">
        <v>49</v>
      </c>
      <c r="D29" s="357"/>
      <c r="E29" s="358"/>
    </row>
    <row r="30" spans="1:5" ht="15">
      <c r="A30" s="103">
        <v>32</v>
      </c>
      <c r="B30" s="110">
        <v>10</v>
      </c>
      <c r="C30" s="350">
        <f>X1</f>
        <v>0</v>
      </c>
      <c r="D30" s="351"/>
      <c r="E30" s="352"/>
    </row>
    <row r="31" spans="1:5" ht="15">
      <c r="A31" s="71">
        <v>33</v>
      </c>
      <c r="B31" s="110">
        <v>6</v>
      </c>
      <c r="C31" s="350" t="str">
        <f>C29</f>
        <v>источник закрыт</v>
      </c>
      <c r="D31" s="351"/>
      <c r="E31" s="352"/>
    </row>
    <row r="32" spans="1:5" ht="15">
      <c r="A32" s="103">
        <v>34</v>
      </c>
      <c r="B32" s="110">
        <v>10</v>
      </c>
      <c r="C32" s="350">
        <f>7836-70-210-292.3-240.8-400-160-400-180+160-604.32-150-170.37-234.5</f>
        <v>4883.71</v>
      </c>
      <c r="D32" s="351"/>
      <c r="E32" s="352"/>
    </row>
    <row r="33" spans="1:5" ht="15">
      <c r="A33" s="104">
        <v>35</v>
      </c>
      <c r="B33" s="68">
        <v>10</v>
      </c>
      <c r="C33" s="350">
        <f>X2-20</f>
        <v>-20</v>
      </c>
      <c r="D33" s="351"/>
      <c r="E33" s="352"/>
    </row>
    <row r="34" spans="1:5" ht="15">
      <c r="A34" s="71">
        <v>36</v>
      </c>
      <c r="B34" s="110">
        <v>10</v>
      </c>
      <c r="C34" s="350" t="s">
        <v>49</v>
      </c>
      <c r="D34" s="357"/>
      <c r="E34" s="358"/>
    </row>
    <row r="35" spans="1:5" ht="15">
      <c r="A35" s="103">
        <v>37</v>
      </c>
      <c r="B35" s="110">
        <v>6</v>
      </c>
      <c r="C35" s="350">
        <f>X6</f>
        <v>0</v>
      </c>
      <c r="D35" s="351"/>
      <c r="E35" s="352"/>
    </row>
    <row r="36" spans="1:5" ht="15">
      <c r="A36" s="103">
        <v>38</v>
      </c>
      <c r="B36" s="110">
        <v>6</v>
      </c>
      <c r="C36" s="350">
        <f>X5-50-80-1000</f>
        <v>-1130</v>
      </c>
      <c r="D36" s="351"/>
      <c r="E36" s="352"/>
    </row>
    <row r="37" spans="1:5" ht="15">
      <c r="A37" s="103">
        <v>39</v>
      </c>
      <c r="B37" s="110">
        <v>10</v>
      </c>
      <c r="C37" s="350">
        <f>X3-350-140.4-2297.8-75</f>
        <v>-2863.2000000000003</v>
      </c>
      <c r="D37" s="351"/>
      <c r="E37" s="352"/>
    </row>
    <row r="38" spans="1:5" ht="15">
      <c r="A38" s="103">
        <v>40</v>
      </c>
      <c r="B38" s="110">
        <v>10</v>
      </c>
      <c r="C38" s="350">
        <f>X4</f>
        <v>0</v>
      </c>
      <c r="D38" s="351"/>
      <c r="E38" s="352"/>
    </row>
    <row r="39" spans="1:5" ht="15.75" thickBot="1">
      <c r="A39" s="105">
        <v>41</v>
      </c>
      <c r="B39" s="73">
        <v>10</v>
      </c>
      <c r="C39" s="353">
        <f>2739-199.6-320-400-200-4000-350-30-20-350-236.9</f>
        <v>-3367.5</v>
      </c>
      <c r="D39" s="354"/>
      <c r="E39" s="355"/>
    </row>
    <row r="40" spans="1:5" ht="15">
      <c r="A40" s="356"/>
      <c r="B40" s="356"/>
      <c r="C40" s="356"/>
      <c r="D40" s="356"/>
      <c r="E40" s="356"/>
    </row>
    <row r="41" spans="1:5" ht="15">
      <c r="A41" s="109"/>
      <c r="B41" s="109"/>
      <c r="C41" s="109"/>
      <c r="D41" s="109"/>
      <c r="E41" s="109"/>
    </row>
    <row r="42" spans="1:5" ht="15">
      <c r="A42" s="109"/>
      <c r="B42" s="109"/>
      <c r="C42" s="109"/>
      <c r="D42" s="109"/>
      <c r="E42" s="109"/>
    </row>
    <row r="53" spans="9:9">
      <c r="I53" s="213"/>
    </row>
  </sheetData>
  <mergeCells count="40">
    <mergeCell ref="C6:E6"/>
    <mergeCell ref="C1:E1"/>
    <mergeCell ref="C2:E2"/>
    <mergeCell ref="C3:E3"/>
    <mergeCell ref="C4:E4"/>
    <mergeCell ref="C5:E5"/>
    <mergeCell ref="C18:E18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30:E30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7:E37"/>
    <mergeCell ref="C38:E38"/>
    <mergeCell ref="C39:E39"/>
    <mergeCell ref="A40:E40"/>
    <mergeCell ref="C31:E31"/>
    <mergeCell ref="C32:E32"/>
    <mergeCell ref="C33:E33"/>
    <mergeCell ref="C34:E34"/>
    <mergeCell ref="C35:E35"/>
    <mergeCell ref="C36:E3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16" workbookViewId="0">
      <selection activeCell="D57" sqref="D57"/>
    </sheetView>
  </sheetViews>
  <sheetFormatPr defaultRowHeight="12.75"/>
  <cols>
    <col min="2" max="2" width="15.85546875" customWidth="1"/>
    <col min="3" max="3" width="19.7109375" customWidth="1"/>
    <col min="4" max="4" width="24.140625" customWidth="1"/>
  </cols>
  <sheetData>
    <row r="1" spans="1:3">
      <c r="A1">
        <v>1</v>
      </c>
      <c r="B1">
        <v>6</v>
      </c>
      <c r="C1" t="s">
        <v>49</v>
      </c>
    </row>
    <row r="2" spans="1:3">
      <c r="A2">
        <v>2</v>
      </c>
      <c r="B2">
        <v>6</v>
      </c>
      <c r="C2" t="s">
        <v>49</v>
      </c>
    </row>
    <row r="3" spans="1:3">
      <c r="A3">
        <v>3</v>
      </c>
      <c r="B3">
        <v>6</v>
      </c>
      <c r="C3" t="s">
        <v>49</v>
      </c>
    </row>
    <row r="4" spans="1:3">
      <c r="A4">
        <v>4</v>
      </c>
      <c r="B4">
        <v>6</v>
      </c>
      <c r="C4" t="s">
        <v>49</v>
      </c>
    </row>
    <row r="5" spans="1:3">
      <c r="A5" t="s">
        <v>48</v>
      </c>
      <c r="B5">
        <v>10</v>
      </c>
      <c r="C5" t="s">
        <v>49</v>
      </c>
    </row>
    <row r="6" spans="1:3">
      <c r="A6">
        <v>5</v>
      </c>
      <c r="B6">
        <v>6</v>
      </c>
      <c r="C6" t="s">
        <v>49</v>
      </c>
    </row>
    <row r="7" spans="1:3">
      <c r="A7">
        <v>6</v>
      </c>
      <c r="B7">
        <v>6</v>
      </c>
      <c r="C7" t="s">
        <v>49</v>
      </c>
    </row>
    <row r="8" spans="1:3">
      <c r="A8">
        <v>7</v>
      </c>
      <c r="B8">
        <v>6</v>
      </c>
      <c r="C8" t="s">
        <v>49</v>
      </c>
    </row>
    <row r="9" spans="1:3">
      <c r="A9">
        <v>9</v>
      </c>
      <c r="B9">
        <v>10</v>
      </c>
      <c r="C9">
        <v>767.2</v>
      </c>
    </row>
    <row r="10" spans="1:3">
      <c r="A10">
        <v>10</v>
      </c>
      <c r="B10">
        <v>10</v>
      </c>
      <c r="C10" t="s">
        <v>49</v>
      </c>
    </row>
    <row r="11" spans="1:3">
      <c r="A11">
        <v>11</v>
      </c>
      <c r="B11">
        <v>10</v>
      </c>
      <c r="C11" t="s">
        <v>49</v>
      </c>
    </row>
    <row r="12" spans="1:3">
      <c r="A12">
        <v>12</v>
      </c>
      <c r="B12">
        <v>10</v>
      </c>
      <c r="C12" t="s">
        <v>49</v>
      </c>
    </row>
    <row r="13" spans="1:3">
      <c r="A13">
        <v>13</v>
      </c>
      <c r="B13">
        <v>10</v>
      </c>
      <c r="C13">
        <v>1729</v>
      </c>
    </row>
    <row r="14" spans="1:3">
      <c r="A14">
        <v>14</v>
      </c>
      <c r="B14">
        <v>10</v>
      </c>
      <c r="C14" t="s">
        <v>49</v>
      </c>
    </row>
    <row r="15" spans="1:3">
      <c r="A15">
        <v>15</v>
      </c>
      <c r="B15">
        <v>6</v>
      </c>
      <c r="C15" t="s">
        <v>49</v>
      </c>
    </row>
    <row r="16" spans="1:3">
      <c r="A16">
        <v>16</v>
      </c>
      <c r="B16">
        <v>6</v>
      </c>
      <c r="C16" t="s">
        <v>49</v>
      </c>
    </row>
    <row r="17" spans="1:3">
      <c r="A17">
        <v>17</v>
      </c>
      <c r="B17">
        <v>10</v>
      </c>
      <c r="C17" t="s">
        <v>49</v>
      </c>
    </row>
    <row r="18" spans="1:3">
      <c r="A18">
        <v>18</v>
      </c>
      <c r="B18">
        <v>10</v>
      </c>
      <c r="C18" t="s">
        <v>49</v>
      </c>
    </row>
    <row r="19" spans="1:3">
      <c r="A19">
        <v>19</v>
      </c>
      <c r="B19">
        <v>6</v>
      </c>
      <c r="C19">
        <v>10192</v>
      </c>
    </row>
    <row r="20" spans="1:3">
      <c r="A20">
        <v>20</v>
      </c>
      <c r="B20">
        <v>10</v>
      </c>
      <c r="C20" t="s">
        <v>49</v>
      </c>
    </row>
    <row r="21" spans="1:3">
      <c r="A21">
        <v>21</v>
      </c>
      <c r="B21">
        <v>10</v>
      </c>
      <c r="C21">
        <v>416.80000000000018</v>
      </c>
    </row>
    <row r="22" spans="1:3">
      <c r="A22">
        <v>22</v>
      </c>
      <c r="B22">
        <v>10</v>
      </c>
      <c r="C22" t="s">
        <v>49</v>
      </c>
    </row>
    <row r="23" spans="1:3">
      <c r="A23">
        <v>23</v>
      </c>
      <c r="B23">
        <v>10</v>
      </c>
      <c r="C23">
        <v>-265.53999999999996</v>
      </c>
    </row>
    <row r="24" spans="1:3">
      <c r="A24">
        <v>24</v>
      </c>
      <c r="B24">
        <v>10</v>
      </c>
      <c r="C24">
        <v>333.6</v>
      </c>
    </row>
    <row r="25" spans="1:3">
      <c r="A25">
        <v>25</v>
      </c>
      <c r="B25">
        <v>10</v>
      </c>
      <c r="C25" t="s">
        <v>49</v>
      </c>
    </row>
    <row r="26" spans="1:3">
      <c r="A26">
        <v>26</v>
      </c>
      <c r="B26">
        <v>6</v>
      </c>
      <c r="C26" t="s">
        <v>49</v>
      </c>
    </row>
    <row r="27" spans="1:3">
      <c r="A27">
        <v>28</v>
      </c>
      <c r="B27">
        <v>6</v>
      </c>
      <c r="C27">
        <v>427</v>
      </c>
    </row>
    <row r="28" spans="1:3">
      <c r="A28">
        <v>30</v>
      </c>
      <c r="B28">
        <v>10</v>
      </c>
      <c r="C28">
        <v>1600</v>
      </c>
    </row>
    <row r="29" spans="1:3">
      <c r="A29">
        <v>31</v>
      </c>
      <c r="B29">
        <v>10</v>
      </c>
      <c r="C29" t="s">
        <v>49</v>
      </c>
    </row>
    <row r="30" spans="1:3">
      <c r="A30">
        <v>32</v>
      </c>
      <c r="B30">
        <v>10</v>
      </c>
      <c r="C30">
        <v>3354</v>
      </c>
    </row>
    <row r="31" spans="1:3">
      <c r="A31">
        <v>33</v>
      </c>
      <c r="B31">
        <v>6</v>
      </c>
      <c r="C31" t="s">
        <v>49</v>
      </c>
    </row>
    <row r="32" spans="1:3">
      <c r="A32">
        <v>34</v>
      </c>
      <c r="B32">
        <v>10</v>
      </c>
      <c r="C32">
        <v>4883.71</v>
      </c>
    </row>
    <row r="33" spans="1:3">
      <c r="A33">
        <v>35</v>
      </c>
      <c r="B33">
        <v>10</v>
      </c>
      <c r="C33">
        <v>1854</v>
      </c>
    </row>
    <row r="34" spans="1:3">
      <c r="A34">
        <v>36</v>
      </c>
      <c r="B34">
        <v>10</v>
      </c>
      <c r="C34" t="s">
        <v>49</v>
      </c>
    </row>
    <row r="35" spans="1:3">
      <c r="A35">
        <v>37</v>
      </c>
      <c r="B35">
        <v>6</v>
      </c>
      <c r="C35">
        <v>3024</v>
      </c>
    </row>
    <row r="36" spans="1:3">
      <c r="A36">
        <v>38</v>
      </c>
      <c r="B36">
        <v>6</v>
      </c>
      <c r="C36">
        <v>1558</v>
      </c>
    </row>
    <row r="37" spans="1:3">
      <c r="A37">
        <v>39</v>
      </c>
      <c r="B37">
        <v>10</v>
      </c>
      <c r="C37">
        <v>-897.20000000000027</v>
      </c>
    </row>
    <row r="38" spans="1:3">
      <c r="A38">
        <v>40</v>
      </c>
      <c r="B38">
        <v>10</v>
      </c>
      <c r="C38">
        <v>7542</v>
      </c>
    </row>
    <row r="39" spans="1:3">
      <c r="A39">
        <v>41</v>
      </c>
      <c r="B39">
        <v>10</v>
      </c>
      <c r="C39">
        <v>-3367.5</v>
      </c>
    </row>
    <row r="40" spans="1:3">
      <c r="A40">
        <v>42</v>
      </c>
      <c r="B40">
        <v>6</v>
      </c>
      <c r="C40">
        <v>104.38000000000011</v>
      </c>
    </row>
    <row r="41" spans="1:3">
      <c r="A41">
        <v>45</v>
      </c>
      <c r="B41">
        <v>10</v>
      </c>
      <c r="C41">
        <v>4979.08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Тех.присоединения</vt:lpstr>
      <vt:lpstr>О договорах </vt:lpstr>
      <vt:lpstr>Своб. Р по ПС</vt:lpstr>
      <vt:lpstr>Своб.мощ-ть ТП</vt:lpstr>
      <vt:lpstr>своб. Р по РП</vt:lpstr>
      <vt:lpstr>Своб. Р по ТП и РП</vt:lpstr>
      <vt:lpstr>Лист2</vt:lpstr>
      <vt:lpstr>Лист1</vt:lpstr>
      <vt:lpstr>Лист3</vt:lpstr>
      <vt:lpstr>'Своб.мощ-ть ТП'!Объем_своб_мощ_до35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bav</dc:creator>
  <cp:lastModifiedBy>Елизавета Александровна Ковалева</cp:lastModifiedBy>
  <cp:lastPrinted>2023-12-28T03:37:37Z</cp:lastPrinted>
  <dcterms:created xsi:type="dcterms:W3CDTF">2009-05-25T08:13:04Z</dcterms:created>
  <dcterms:modified xsi:type="dcterms:W3CDTF">2024-01-29T09:19:08Z</dcterms:modified>
</cp:coreProperties>
</file>